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345" activeTab="0"/>
  </bookViews>
  <sheets>
    <sheet name="モニタリング結果" sheetId="1" r:id="rId1"/>
    <sheet name="0.05到達日" sheetId="2" r:id="rId2"/>
    <sheet name="測定結果" sheetId="3" r:id="rId3"/>
    <sheet name="LOG_Calc" sheetId="4" r:id="rId4"/>
    <sheet name="Ave_Calc" sheetId="5" r:id="rId5"/>
    <sheet name="Graph_Data" sheetId="6" r:id="rId6"/>
  </sheets>
  <externalReferences>
    <externalReference r:id="rId9"/>
  </externalReferences>
  <definedNames>
    <definedName name="_xlnm.Print_Area" localSheetId="1">'0.05到達日'!$A$1:$T$69</definedName>
    <definedName name="_xlnm.Print_Area" localSheetId="0">'モニタリング結果'!$A$1:$W$69</definedName>
  </definedNames>
  <calcPr fullCalcOnLoad="1"/>
</workbook>
</file>

<file path=xl/sharedStrings.xml><?xml version="1.0" encoding="utf-8"?>
<sst xmlns="http://schemas.openxmlformats.org/spreadsheetml/2006/main" count="192" uniqueCount="143">
  <si>
    <t>緯度</t>
  </si>
  <si>
    <t>経度</t>
  </si>
  <si>
    <t>測定値</t>
  </si>
  <si>
    <t>No.</t>
  </si>
  <si>
    <t>測定日</t>
  </si>
  <si>
    <t>測定時間</t>
  </si>
  <si>
    <t>測定者</t>
  </si>
  <si>
    <t>測定器</t>
  </si>
  <si>
    <t>：終了</t>
  </si>
  <si>
    <t>被ばく線量</t>
  </si>
  <si>
    <t>木梨宅測定結果</t>
  </si>
  <si>
    <t>測定点</t>
  </si>
  <si>
    <t>：一次立入開始</t>
  </si>
  <si>
    <t>：一次立入終了</t>
  </si>
  <si>
    <r>
      <t>：地上</t>
    </r>
    <r>
      <rPr>
        <sz val="10"/>
        <rFont val="Arial"/>
        <family val="2"/>
      </rPr>
      <t>1.0m</t>
    </r>
    <r>
      <rPr>
        <sz val="10"/>
        <rFont val="ＭＳ Ｐゴシック"/>
        <family val="3"/>
      </rPr>
      <t>高さ</t>
    </r>
  </si>
  <si>
    <r>
      <t xml:space="preserve"> &gt;13kcpm </t>
    </r>
    <r>
      <rPr>
        <sz val="10"/>
        <rFont val="ＭＳ Ｐゴシック"/>
        <family val="3"/>
      </rPr>
      <t>拭き取り除染を実施</t>
    </r>
  </si>
  <si>
    <r>
      <t xml:space="preserve"> </t>
    </r>
    <r>
      <rPr>
        <sz val="10"/>
        <rFont val="ＭＳ Ｐゴシック"/>
        <family val="3"/>
      </rPr>
      <t>人・物とも</t>
    </r>
    <r>
      <rPr>
        <sz val="10"/>
        <rFont val="Arial"/>
        <family val="2"/>
      </rPr>
      <t xml:space="preserve">&lt;13kcpm </t>
    </r>
    <r>
      <rPr>
        <sz val="10"/>
        <rFont val="ＭＳ Ｐゴシック"/>
        <family val="3"/>
      </rPr>
      <t>で搬出・持ち出し可</t>
    </r>
  </si>
  <si>
    <t>：出発</t>
  </si>
  <si>
    <t>：受付免許証／許可書確認</t>
  </si>
  <si>
    <t>大熊町一時立入時放射線モニタリング結果（きなやん宅）</t>
  </si>
  <si>
    <t>測定結果</t>
  </si>
  <si>
    <t>LOG_Calc</t>
  </si>
  <si>
    <t>前回からの経過日数</t>
  </si>
  <si>
    <t>１回目からの経過日数</t>
  </si>
  <si>
    <t>2011年3月11日からの経過日数</t>
  </si>
  <si>
    <t>測定日</t>
  </si>
  <si>
    <t>開始行</t>
  </si>
  <si>
    <t>データ数</t>
  </si>
  <si>
    <t>終了行</t>
  </si>
  <si>
    <t>シート名</t>
  </si>
  <si>
    <t>算術最大値</t>
  </si>
  <si>
    <t>算術最小値</t>
  </si>
  <si>
    <t>算術平均</t>
  </si>
  <si>
    <t>算術平均(積雪を除く)</t>
  </si>
  <si>
    <t>算術標準偏差</t>
  </si>
  <si>
    <t>LOG最大値</t>
  </si>
  <si>
    <t>LOG最小値</t>
  </si>
  <si>
    <t>LOG平均</t>
  </si>
  <si>
    <t>LOG平均(積雪を除く)</t>
  </si>
  <si>
    <t>LOG標準偏差</t>
  </si>
  <si>
    <t>幾何平均(10^LOG平均)</t>
  </si>
  <si>
    <t>幾何標準偏差(10^LOG標準偏差)</t>
  </si>
  <si>
    <t>幾何平均(10^LOG平均積雪を除く)</t>
  </si>
  <si>
    <t>傾き</t>
  </si>
  <si>
    <t>切片</t>
  </si>
  <si>
    <t>R2</t>
  </si>
  <si>
    <t>近似直線</t>
  </si>
  <si>
    <t>階</t>
  </si>
  <si>
    <t>測定高さ</t>
  </si>
  <si>
    <r>
      <t>1</t>
    </r>
    <r>
      <rPr>
        <sz val="11"/>
        <rFont val="ＭＳ Ｐゴシック"/>
        <family val="3"/>
      </rPr>
      <t>m</t>
    </r>
  </si>
  <si>
    <t>列</t>
  </si>
  <si>
    <t>行</t>
  </si>
  <si>
    <t>傾き</t>
  </si>
  <si>
    <t>切片</t>
  </si>
  <si>
    <t>R2</t>
  </si>
  <si>
    <t>補助目盛</t>
  </si>
  <si>
    <t>目盛</t>
  </si>
  <si>
    <t>補助目盛1.5</t>
  </si>
  <si>
    <t>行_測定日</t>
  </si>
  <si>
    <t>測定日</t>
  </si>
  <si>
    <t>10^LOG平均</t>
  </si>
  <si>
    <t>1m</t>
  </si>
  <si>
    <t>周辺</t>
  </si>
  <si>
    <t>3/11経過日数</t>
  </si>
  <si>
    <t>幾何標準偏差</t>
  </si>
  <si>
    <t>傾き</t>
  </si>
  <si>
    <t>切片</t>
  </si>
  <si>
    <t>実効半減期</t>
  </si>
  <si>
    <r>
      <t>R</t>
    </r>
    <r>
      <rPr>
        <vertAlign val="superscript"/>
        <sz val="9"/>
        <rFont val="Arial"/>
        <family val="2"/>
      </rPr>
      <t>2</t>
    </r>
  </si>
  <si>
    <t>μSv/hr</t>
  </si>
  <si>
    <t>10^LOG</t>
  </si>
  <si>
    <t>経過日数</t>
  </si>
  <si>
    <r>
      <t>Cs-137</t>
    </r>
    <r>
      <rPr>
        <sz val="10"/>
        <rFont val="ＭＳ Ｐゴシック"/>
        <family val="3"/>
      </rPr>
      <t>の減衰</t>
    </r>
  </si>
  <si>
    <t>1m</t>
  </si>
  <si>
    <t>測定点</t>
  </si>
  <si>
    <r>
      <t>R</t>
    </r>
    <r>
      <rPr>
        <vertAlign val="superscript"/>
        <sz val="9"/>
        <rFont val="Arial"/>
        <family val="2"/>
      </rPr>
      <t>2</t>
    </r>
  </si>
  <si>
    <t>実効半減期</t>
  </si>
  <si>
    <t>1mBG</t>
  </si>
  <si>
    <r>
      <t xml:space="preserve"> Cs-134</t>
    </r>
    <r>
      <rPr>
        <sz val="9"/>
        <rFont val="ＭＳ Ｐゴシック"/>
        <family val="3"/>
      </rPr>
      <t>の半減期は</t>
    </r>
    <r>
      <rPr>
        <sz val="9"/>
        <rFont val="Arial"/>
        <family val="2"/>
      </rPr>
      <t>2.0648y(754.19d)</t>
    </r>
    <r>
      <rPr>
        <sz val="9"/>
        <rFont val="ＭＳ Ｐゴシック"/>
        <family val="3"/>
      </rPr>
      <t>、</t>
    </r>
    <r>
      <rPr>
        <sz val="9"/>
        <rFont val="Arial"/>
        <family val="2"/>
      </rPr>
      <t>Cs-137</t>
    </r>
    <r>
      <rPr>
        <sz val="9"/>
        <rFont val="ＭＳ Ｐゴシック"/>
        <family val="3"/>
      </rPr>
      <t>の半減期は</t>
    </r>
    <r>
      <rPr>
        <sz val="9"/>
        <rFont val="Arial"/>
        <family val="2"/>
      </rPr>
      <t>30.167y(11,019d)</t>
    </r>
    <r>
      <rPr>
        <sz val="9"/>
        <rFont val="ＭＳ Ｐゴシック"/>
        <family val="3"/>
      </rPr>
      <t>です。実効半減期は、この</t>
    </r>
    <r>
      <rPr>
        <sz val="9"/>
        <rFont val="Arial"/>
        <family val="2"/>
      </rPr>
      <t>2</t>
    </r>
    <r>
      <rPr>
        <sz val="9"/>
        <rFont val="ＭＳ Ｐゴシック"/>
        <family val="3"/>
      </rPr>
      <t>つの物理的半減期と雨風</t>
    </r>
  </si>
  <si>
    <t xml:space="preserve"> 除染等によって減少する環境的半減期によって決定します。Cs-134が減衰するとCs-137が残り、実効半減期も大きくなると予想され</t>
  </si>
  <si>
    <r>
      <t>I-131</t>
    </r>
    <r>
      <rPr>
        <sz val="10"/>
        <rFont val="ＭＳ Ｐゴシック"/>
        <family val="3"/>
      </rPr>
      <t>の減衰</t>
    </r>
  </si>
  <si>
    <r>
      <t>Cs-137</t>
    </r>
    <r>
      <rPr>
        <sz val="9"/>
        <rFont val="ＭＳ Ｐゴシック"/>
        <family val="3"/>
      </rPr>
      <t>の減衰直線です。ただし、存在量が不明ですので、</t>
    </r>
    <r>
      <rPr>
        <sz val="9"/>
        <rFont val="Arial"/>
        <family val="2"/>
      </rPr>
      <t>30.167</t>
    </r>
    <r>
      <rPr>
        <sz val="9"/>
        <rFont val="ＭＳ Ｐゴシック"/>
        <family val="3"/>
      </rPr>
      <t>年という時の長さだけを感じて下さい。</t>
    </r>
  </si>
  <si>
    <r>
      <t>I-131</t>
    </r>
    <r>
      <rPr>
        <sz val="9"/>
        <rFont val="ＭＳ Ｐゴシック"/>
        <family val="3"/>
      </rPr>
      <t>の減衰直線です。存在量が不明ですので、</t>
    </r>
    <r>
      <rPr>
        <sz val="9"/>
        <rFont val="Arial"/>
        <family val="2"/>
      </rPr>
      <t>3</t>
    </r>
    <r>
      <rPr>
        <sz val="9"/>
        <rFont val="ＭＳ Ｐゴシック"/>
        <family val="3"/>
      </rPr>
      <t>月</t>
    </r>
    <r>
      <rPr>
        <sz val="9"/>
        <rFont val="Arial"/>
        <family val="2"/>
      </rPr>
      <t>15</t>
    </r>
    <r>
      <rPr>
        <sz val="9"/>
        <rFont val="ＭＳ Ｐゴシック"/>
        <family val="3"/>
      </rPr>
      <t>日午前</t>
    </r>
    <r>
      <rPr>
        <sz val="9"/>
        <rFont val="Arial"/>
        <family val="2"/>
      </rPr>
      <t>9</t>
    </r>
    <r>
      <rPr>
        <sz val="9"/>
        <rFont val="ＭＳ Ｐゴシック"/>
        <family val="3"/>
      </rPr>
      <t>時</t>
    </r>
    <r>
      <rPr>
        <sz val="9"/>
        <rFont val="Arial"/>
        <family val="2"/>
      </rPr>
      <t>00</t>
    </r>
    <r>
      <rPr>
        <sz val="9"/>
        <rFont val="ＭＳ Ｐゴシック"/>
        <family val="3"/>
      </rPr>
      <t>分正門付近の</t>
    </r>
    <r>
      <rPr>
        <sz val="9"/>
        <rFont val="Arial"/>
        <family val="2"/>
      </rPr>
      <t>11,930</t>
    </r>
    <r>
      <rPr>
        <sz val="9"/>
        <rFont val="ＭＳ Ｐゴシック"/>
        <family val="3"/>
      </rPr>
      <t>μ</t>
    </r>
    <r>
      <rPr>
        <sz val="9"/>
        <rFont val="Arial"/>
        <family val="2"/>
      </rPr>
      <t>Sv/hr</t>
    </r>
    <r>
      <rPr>
        <sz val="9"/>
        <rFont val="ＭＳ Ｐゴシック"/>
        <family val="3"/>
      </rPr>
      <t>としました。</t>
    </r>
  </si>
  <si>
    <t>測定値</t>
  </si>
  <si>
    <r>
      <t xml:space="preserve"> </t>
    </r>
    <r>
      <rPr>
        <sz val="10"/>
        <rFont val="ＭＳ Ｐゴシック"/>
        <family val="3"/>
      </rPr>
      <t>防護装備着用、</t>
    </r>
    <r>
      <rPr>
        <sz val="10"/>
        <rFont val="Arial"/>
        <family val="2"/>
      </rPr>
      <t>APD</t>
    </r>
    <r>
      <rPr>
        <sz val="10"/>
        <rFont val="ＭＳ Ｐゴシック"/>
        <family val="3"/>
      </rPr>
      <t>／トランシーバー借用</t>
    </r>
  </si>
  <si>
    <t xml:space="preserve"> 家屋内2階は、春の長雨や台風で新たに持ち</t>
  </si>
  <si>
    <t xml:space="preserve"> 込まれ、1階は、泥棒達の土足と割れたガラス</t>
  </si>
  <si>
    <t xml:space="preserve"> 戸から新たに持ち込まれました。これらにより</t>
  </si>
  <si>
    <t xml:space="preserve"> 実効半減期は、最長8.81年と長くなりました。</t>
  </si>
  <si>
    <t xml:space="preserve"> しかし、庭は、2011年3月中に満遍なく汚染し</t>
  </si>
  <si>
    <t xml:space="preserve"> たままで、使用済燃料プールに鉄骨を落とし</t>
  </si>
  <si>
    <t xml:space="preserve"> て、水しぶきをあげて再飛散させたりしている</t>
  </si>
  <si>
    <t xml:space="preserve"> にもかかわらず、庭の線量率を大幅に上げる</t>
  </si>
  <si>
    <t xml:space="preserve"> までには寄与していません。</t>
  </si>
  <si>
    <t xml:space="preserve"> 風に吹き飛ばされるに任せて、線量率が変動</t>
  </si>
  <si>
    <t xml:space="preserve"> しているものと思われます。</t>
  </si>
  <si>
    <t>：毛萱スクリーニング場</t>
  </si>
  <si>
    <t xml:space="preserve"> </t>
  </si>
  <si>
    <t>：スクリーニングサーベイ</t>
  </si>
  <si>
    <r>
      <t xml:space="preserve"> 1</t>
    </r>
    <r>
      <rPr>
        <sz val="9"/>
        <rFont val="ＭＳ Ｐゴシック"/>
        <family val="3"/>
      </rPr>
      <t>年前（</t>
    </r>
    <r>
      <rPr>
        <sz val="9"/>
        <rFont val="Arial"/>
        <family val="2"/>
      </rPr>
      <t>2011</t>
    </r>
    <r>
      <rPr>
        <sz val="9"/>
        <rFont val="ＭＳ Ｐゴシック"/>
        <family val="3"/>
      </rPr>
      <t>年</t>
    </r>
    <r>
      <rPr>
        <sz val="9"/>
        <rFont val="Arial"/>
        <family val="2"/>
      </rPr>
      <t>11</t>
    </r>
    <r>
      <rPr>
        <sz val="9"/>
        <rFont val="ＭＳ Ｐゴシック"/>
        <family val="3"/>
      </rPr>
      <t>月</t>
    </r>
    <r>
      <rPr>
        <sz val="9"/>
        <rFont val="Arial"/>
        <family val="2"/>
      </rPr>
      <t>26</t>
    </r>
    <r>
      <rPr>
        <sz val="9"/>
        <rFont val="ＭＳ Ｐゴシック"/>
        <family val="3"/>
      </rPr>
      <t>日の一時立入時）の線</t>
    </r>
  </si>
  <si>
    <r>
      <t xml:space="preserve"> </t>
    </r>
    <r>
      <rPr>
        <sz val="9"/>
        <rFont val="ＭＳ Ｐゴシック"/>
        <family val="3"/>
      </rPr>
      <t>量率の幾何標準偏差（</t>
    </r>
    <r>
      <rPr>
        <sz val="9"/>
        <rFont val="Arial"/>
        <family val="2"/>
      </rPr>
      <t>1.03</t>
    </r>
    <r>
      <rPr>
        <sz val="9"/>
        <rFont val="ＭＳ Ｐゴシック"/>
        <family val="3"/>
      </rPr>
      <t>）と、同じような幾</t>
    </r>
  </si>
  <si>
    <r>
      <t xml:space="preserve"> </t>
    </r>
    <r>
      <rPr>
        <sz val="9"/>
        <rFont val="ＭＳ Ｐゴシック"/>
        <family val="3"/>
      </rPr>
      <t>何標準偏差（</t>
    </r>
    <r>
      <rPr>
        <sz val="9"/>
        <rFont val="Arial"/>
        <family val="2"/>
      </rPr>
      <t>1.04</t>
    </r>
    <r>
      <rPr>
        <sz val="9"/>
        <rFont val="ＭＳ Ｐゴシック"/>
        <family val="3"/>
      </rPr>
      <t>）となりました。</t>
    </r>
  </si>
  <si>
    <r>
      <t xml:space="preserve"> </t>
    </r>
    <r>
      <rPr>
        <sz val="9"/>
        <rFont val="ＭＳ Ｐゴシック"/>
        <family val="3"/>
      </rPr>
      <t>セイタカアワダチソウは植物ですから茎や葉</t>
    </r>
  </si>
  <si>
    <r>
      <t xml:space="preserve"> </t>
    </r>
    <r>
      <rPr>
        <sz val="9"/>
        <rFont val="ＭＳ Ｐゴシック"/>
        <family val="3"/>
      </rPr>
      <t>は水分のかたまりです。その水分が遮蔽材と</t>
    </r>
  </si>
  <si>
    <r>
      <t xml:space="preserve"> </t>
    </r>
    <r>
      <rPr>
        <sz val="9"/>
        <rFont val="ＭＳ Ｐゴシック"/>
        <family val="3"/>
      </rPr>
      <t>風に揺れたり一方向に倒れたりすると、茎の</t>
    </r>
  </si>
  <si>
    <r>
      <t xml:space="preserve"> </t>
    </r>
    <r>
      <rPr>
        <sz val="9"/>
        <rFont val="ＭＳ Ｐゴシック"/>
        <family val="3"/>
      </rPr>
      <t>集まりにムラができ、春から夏にかけての線</t>
    </r>
  </si>
  <si>
    <r>
      <t xml:space="preserve"> </t>
    </r>
    <r>
      <rPr>
        <sz val="9"/>
        <rFont val="ＭＳ Ｐゴシック"/>
        <family val="3"/>
      </rPr>
      <t>量率にバラツキができる。冬には枯れて水分</t>
    </r>
  </si>
  <si>
    <r>
      <t xml:space="preserve"> </t>
    </r>
    <r>
      <rPr>
        <sz val="9"/>
        <rFont val="ＭＳ Ｐゴシック"/>
        <family val="3"/>
      </rPr>
      <t>しての効果を果たしているのでしょうか？</t>
    </r>
  </si>
  <si>
    <r>
      <t xml:space="preserve"> </t>
    </r>
    <r>
      <rPr>
        <sz val="9"/>
        <rFont val="ＭＳ Ｐゴシック"/>
        <family val="3"/>
      </rPr>
      <t>が抜け遮蔽効果が無くなりバラツキも無くなる。</t>
    </r>
  </si>
  <si>
    <r>
      <t xml:space="preserve"> </t>
    </r>
    <r>
      <rPr>
        <sz val="9"/>
        <rFont val="ＭＳ Ｐゴシック"/>
        <family val="3"/>
      </rPr>
      <t>そのような事が考えられる測定結果です。</t>
    </r>
  </si>
  <si>
    <r>
      <t>Y</t>
    </r>
    <r>
      <rPr>
        <sz val="10"/>
        <rFont val="ＭＳ Ｐゴシック"/>
        <family val="3"/>
      </rPr>
      <t>軸ラベル</t>
    </r>
  </si>
  <si>
    <t>最    大    値</t>
  </si>
  <si>
    <t>最    小    値</t>
  </si>
  <si>
    <t>幾 何 平均値</t>
  </si>
  <si>
    <t>測 定 年月日</t>
  </si>
  <si>
    <r>
      <t>前回比</t>
    </r>
    <r>
      <rPr>
        <sz val="7"/>
        <rFont val="ＭＳ Ｐゴシック"/>
        <family val="3"/>
      </rPr>
      <t>（今回/前回）</t>
    </r>
  </si>
  <si>
    <t>-</t>
  </si>
  <si>
    <t xml:space="preserve"> </t>
  </si>
  <si>
    <r>
      <t xml:space="preserve"> </t>
    </r>
    <r>
      <rPr>
        <sz val="9"/>
        <rFont val="ＭＳ Ｐゴシック"/>
        <family val="3"/>
      </rPr>
      <t>家屋外・庭の線量率は、変動しな</t>
    </r>
  </si>
  <si>
    <r>
      <t xml:space="preserve"> </t>
    </r>
    <r>
      <rPr>
        <sz val="9"/>
        <rFont val="ＭＳ Ｐゴシック"/>
        <family val="3"/>
      </rPr>
      <t>ながら減少傾向を示しています。</t>
    </r>
  </si>
  <si>
    <r>
      <t xml:space="preserve"> </t>
    </r>
    <r>
      <rPr>
        <sz val="9"/>
        <rFont val="ＭＳ Ｐゴシック"/>
        <family val="3"/>
      </rPr>
      <t>実効半減期は、</t>
    </r>
    <r>
      <rPr>
        <sz val="9"/>
        <rFont val="Arial"/>
        <family val="2"/>
      </rPr>
      <t>4.18</t>
    </r>
    <r>
      <rPr>
        <sz val="9"/>
        <rFont val="ＭＳ Ｐゴシック"/>
        <family val="3"/>
      </rPr>
      <t>年です。</t>
    </r>
  </si>
  <si>
    <r>
      <t xml:space="preserve"> </t>
    </r>
    <r>
      <rPr>
        <sz val="9"/>
        <rFont val="ＭＳ Ｐゴシック"/>
        <family val="3"/>
      </rPr>
      <t>この原因は、不明です。</t>
    </r>
  </si>
  <si>
    <r>
      <t xml:space="preserve"> </t>
    </r>
    <r>
      <rPr>
        <sz val="9"/>
        <rFont val="ＭＳ Ｐゴシック"/>
        <family val="3"/>
      </rPr>
      <t>今回の線量率は、前回比</t>
    </r>
    <r>
      <rPr>
        <sz val="9"/>
        <rFont val="Arial"/>
        <family val="2"/>
      </rPr>
      <t>88%</t>
    </r>
    <r>
      <rPr>
        <sz val="9"/>
        <rFont val="ＭＳ Ｐゴシック"/>
        <family val="3"/>
      </rPr>
      <t>と</t>
    </r>
  </si>
  <si>
    <r>
      <t xml:space="preserve"> </t>
    </r>
    <r>
      <rPr>
        <sz val="9"/>
        <rFont val="ＭＳ Ｐゴシック"/>
        <family val="3"/>
      </rPr>
      <t>季節変動があるのかな</t>
    </r>
    <r>
      <rPr>
        <sz val="9"/>
        <rFont val="Arial"/>
        <family val="2"/>
      </rPr>
      <t>?</t>
    </r>
    <r>
      <rPr>
        <sz val="9"/>
        <rFont val="ＭＳ Ｐゴシック"/>
        <family val="3"/>
      </rPr>
      <t>とも思わ</t>
    </r>
  </si>
  <si>
    <r>
      <t xml:space="preserve"> </t>
    </r>
    <r>
      <rPr>
        <sz val="9"/>
        <rFont val="ＭＳ Ｐゴシック"/>
        <family val="3"/>
      </rPr>
      <t>れますが、まだまだデータ不足で</t>
    </r>
  </si>
  <si>
    <r>
      <t xml:space="preserve"> </t>
    </r>
    <r>
      <rPr>
        <sz val="9"/>
        <rFont val="ＭＳ Ｐゴシック"/>
        <family val="3"/>
      </rPr>
      <t>す。</t>
    </r>
    <r>
      <rPr>
        <sz val="9"/>
        <rFont val="ＭＳ Ｐゴシック"/>
        <family val="3"/>
      </rPr>
      <t>セイダカアワダチソウは、成</t>
    </r>
  </si>
  <si>
    <r>
      <t xml:space="preserve"> </t>
    </r>
    <r>
      <rPr>
        <sz val="9"/>
        <rFont val="ＭＳ Ｐゴシック"/>
        <family val="3"/>
      </rPr>
      <t>長すると茎や葉の中の水分が遮</t>
    </r>
  </si>
  <si>
    <r>
      <t xml:space="preserve"> </t>
    </r>
    <r>
      <rPr>
        <sz val="9"/>
        <rFont val="ＭＳ Ｐゴシック"/>
        <family val="3"/>
      </rPr>
      <t>蔽材として機能している思ってい</t>
    </r>
  </si>
  <si>
    <r>
      <t xml:space="preserve"> </t>
    </r>
    <r>
      <rPr>
        <sz val="9"/>
        <rFont val="ＭＳ Ｐゴシック"/>
        <family val="3"/>
      </rPr>
      <t>たら、水分は放射性物質を吸い</t>
    </r>
  </si>
  <si>
    <r>
      <t xml:space="preserve"> </t>
    </r>
    <r>
      <rPr>
        <sz val="9"/>
        <rFont val="ＭＳ Ｐゴシック"/>
        <family val="3"/>
      </rPr>
      <t>上げて線源の地上高を上げてい</t>
    </r>
  </si>
  <si>
    <r>
      <t xml:space="preserve"> </t>
    </r>
    <r>
      <rPr>
        <sz val="9"/>
        <rFont val="ＭＳ Ｐゴシック"/>
        <family val="3"/>
      </rPr>
      <t>るのかなとも思われます。</t>
    </r>
  </si>
  <si>
    <r>
      <t xml:space="preserve"> </t>
    </r>
    <r>
      <rPr>
        <sz val="9"/>
        <rFont val="ＭＳ Ｐゴシック"/>
        <family val="3"/>
      </rPr>
      <t>なり</t>
    </r>
    <r>
      <rPr>
        <sz val="9"/>
        <rFont val="Arial"/>
        <family val="2"/>
      </rPr>
      <t>12%</t>
    </r>
    <r>
      <rPr>
        <sz val="9"/>
        <rFont val="ＭＳ Ｐゴシック"/>
        <family val="3"/>
      </rPr>
      <t>減少しました。</t>
    </r>
  </si>
  <si>
    <t>1m</t>
  </si>
  <si>
    <r>
      <t>：</t>
    </r>
    <r>
      <rPr>
        <sz val="10"/>
        <rFont val="Arial"/>
        <family val="2"/>
      </rPr>
      <t>ATOMTEX AT6130C</t>
    </r>
  </si>
  <si>
    <t>：（東大和久）きなやん・マー君</t>
  </si>
  <si>
    <r>
      <t>：</t>
    </r>
    <r>
      <rPr>
        <sz val="10"/>
        <rFont val="Arial"/>
        <family val="2"/>
      </rPr>
      <t>ATOMTEX AT6130C</t>
    </r>
  </si>
  <si>
    <t>：（東大和久）きなやん・マー君</t>
  </si>
  <si>
    <r>
      <t>：平成</t>
    </r>
    <r>
      <rPr>
        <sz val="10"/>
        <rFont val="Arial"/>
        <family val="2"/>
      </rPr>
      <t>25</t>
    </r>
    <r>
      <rPr>
        <sz val="10"/>
        <rFont val="ＭＳ Ｐゴシック"/>
        <family val="3"/>
      </rPr>
      <t>年</t>
    </r>
    <r>
      <rPr>
        <sz val="10"/>
        <rFont val="Arial"/>
        <family val="2"/>
      </rPr>
      <t>11</t>
    </r>
    <r>
      <rPr>
        <sz val="10"/>
        <rFont val="ＭＳ Ｐゴシック"/>
        <family val="3"/>
      </rPr>
      <t>月</t>
    </r>
    <r>
      <rPr>
        <sz val="10"/>
        <rFont val="Arial"/>
        <family val="2"/>
      </rPr>
      <t>2</t>
    </r>
    <r>
      <rPr>
        <sz val="10"/>
        <rFont val="ＭＳ Ｐゴシック"/>
        <family val="3"/>
      </rPr>
      <t>日（土）</t>
    </r>
  </si>
  <si>
    <r>
      <t>：</t>
    </r>
    <r>
      <rPr>
        <sz val="10"/>
        <rFont val="Arial"/>
        <family val="2"/>
      </rPr>
      <t>11:30</t>
    </r>
    <r>
      <rPr>
        <sz val="10"/>
        <rFont val="ＭＳ Ｐゴシック"/>
        <family val="3"/>
      </rPr>
      <t>～</t>
    </r>
    <r>
      <rPr>
        <sz val="10"/>
        <rFont val="Arial"/>
        <family val="2"/>
      </rPr>
      <t>13:50</t>
    </r>
  </si>
  <si>
    <r>
      <t>：平成</t>
    </r>
    <r>
      <rPr>
        <sz val="10"/>
        <rFont val="Arial"/>
        <family val="2"/>
      </rPr>
      <t>25</t>
    </r>
    <r>
      <rPr>
        <sz val="10"/>
        <rFont val="ＭＳ Ｐゴシック"/>
        <family val="3"/>
      </rPr>
      <t>年</t>
    </r>
    <r>
      <rPr>
        <sz val="10"/>
        <rFont val="Arial"/>
        <family val="2"/>
      </rPr>
      <t>11</t>
    </r>
    <r>
      <rPr>
        <sz val="10"/>
        <rFont val="ＭＳ Ｐゴシック"/>
        <family val="3"/>
      </rPr>
      <t>月</t>
    </r>
    <r>
      <rPr>
        <sz val="10"/>
        <rFont val="Arial"/>
        <family val="2"/>
      </rPr>
      <t>2</t>
    </r>
    <r>
      <rPr>
        <sz val="10"/>
        <rFont val="ＭＳ Ｐゴシック"/>
        <family val="3"/>
      </rPr>
      <t>日（土）</t>
    </r>
  </si>
  <si>
    <r>
      <t>：きなやん</t>
    </r>
    <r>
      <rPr>
        <sz val="10"/>
        <rFont val="Arial"/>
        <family val="2"/>
      </rPr>
      <t>13</t>
    </r>
    <r>
      <rPr>
        <sz val="10"/>
        <rFont val="ＭＳ Ｐゴシック"/>
        <family val="3"/>
      </rPr>
      <t>・マー君</t>
    </r>
    <r>
      <rPr>
        <sz val="10"/>
        <rFont val="Arial"/>
        <family val="2"/>
      </rPr>
      <t>12μSv</t>
    </r>
    <r>
      <rPr>
        <sz val="10"/>
        <rFont val="ＭＳ Ｐゴシック"/>
        <family val="3"/>
      </rPr>
      <t>（借用</t>
    </r>
    <r>
      <rPr>
        <sz val="10"/>
        <rFont val="Arial"/>
        <family val="2"/>
      </rPr>
      <t>APD</t>
    </r>
    <r>
      <rPr>
        <sz val="10"/>
        <rFont val="ＭＳ Ｐゴシック"/>
        <family val="3"/>
      </rPr>
      <t>）</t>
    </r>
  </si>
  <si>
    <r>
      <t>：きなやん</t>
    </r>
    <r>
      <rPr>
        <sz val="10"/>
        <rFont val="Arial"/>
        <family val="2"/>
      </rPr>
      <t>13</t>
    </r>
    <r>
      <rPr>
        <sz val="10"/>
        <rFont val="ＭＳ Ｐゴシック"/>
        <family val="3"/>
      </rPr>
      <t>・マー君</t>
    </r>
    <r>
      <rPr>
        <sz val="10"/>
        <rFont val="Arial"/>
        <family val="2"/>
      </rPr>
      <t>12μSv</t>
    </r>
    <r>
      <rPr>
        <sz val="10"/>
        <rFont val="ＭＳ Ｐゴシック"/>
        <family val="3"/>
      </rPr>
      <t>（借用</t>
    </r>
    <r>
      <rPr>
        <sz val="10"/>
        <rFont val="Arial"/>
        <family val="2"/>
      </rPr>
      <t>APD</t>
    </r>
    <r>
      <rPr>
        <sz val="10"/>
        <rFont val="ＭＳ Ｐゴシック"/>
        <family val="3"/>
      </rPr>
      <t>）</t>
    </r>
  </si>
  <si>
    <t>印刷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</si>
</sst>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h]&quot;ﾟ&quot;mm&quot;'&quot;ss.000&quot;''&quot;"/>
    <numFmt numFmtId="177" formatCode="#,##0.00_ "/>
    <numFmt numFmtId="178" formatCode="[$-411]ggge&quot;年&quot;m&quot;月&quot;d&quot;日&quot;;@"/>
    <numFmt numFmtId="179" formatCode="yyyy/m/d;@"/>
    <numFmt numFmtId="180" formatCode="m/d;@"/>
    <numFmt numFmtId="181" formatCode="[$-4102A]&quot;:&quot;ggge&quot;年&quot;m&quot;月&quot;d&quot;日&quot;;@"/>
    <numFmt numFmtId="182" formatCode="\'yy/m/d;@"/>
    <numFmt numFmtId="183" formatCode="\'yy/m/d"/>
    <numFmt numFmtId="184" formatCode="#,##0_);[Red]\(#,##0\)"/>
    <numFmt numFmtId="185" formatCode="#,##0&quot;d&quot;"/>
    <numFmt numFmtId="186" formatCode="##0.00&quot; μSv/rh到達日&quot;"/>
    <numFmt numFmtId="187" formatCode="##0.0&quot; μSv/hr&quot;"/>
    <numFmt numFmtId="188" formatCode="&quot;(&quot;#,##0.00&quot;y)&quot;"/>
    <numFmt numFmtId="189" formatCode="\'yy"/>
    <numFmt numFmtId="190" formatCode="#,##0.00000&quot;d&quot;"/>
    <numFmt numFmtId="191" formatCode="General&quot;年&quot;"/>
    <numFmt numFmtId="192" formatCode="yy"/>
    <numFmt numFmtId="193" formatCode="##0.00&quot; μSv/hr到達日&quot;"/>
    <numFmt numFmtId="194" formatCode="##0.0&quot;y&quot;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0"/>
      <name val="Osaka"/>
      <family val="3"/>
    </font>
    <font>
      <sz val="10"/>
      <name val="Arial"/>
      <family val="2"/>
    </font>
    <font>
      <sz val="10"/>
      <name val="ＭＳ Ｐゴシック"/>
      <family val="3"/>
    </font>
    <font>
      <sz val="18"/>
      <name val="ＭＳ Ｐゴシック"/>
      <family val="3"/>
    </font>
    <font>
      <sz val="9"/>
      <name val="Arial"/>
      <family val="2"/>
    </font>
    <font>
      <sz val="7"/>
      <name val="ＭＳ Ｐゴシック"/>
      <family val="3"/>
    </font>
    <font>
      <sz val="7.5"/>
      <name val="ＭＳ Ｐゴシック"/>
      <family val="3"/>
    </font>
    <font>
      <b/>
      <sz val="9"/>
      <color indexed="12"/>
      <name val="Arial"/>
      <family val="2"/>
    </font>
    <font>
      <vertAlign val="superscript"/>
      <sz val="9"/>
      <name val="Arial"/>
      <family val="2"/>
    </font>
    <font>
      <sz val="8.75"/>
      <name val="Arial"/>
      <family val="2"/>
    </font>
    <font>
      <sz val="7.75"/>
      <name val="ＭＳ Ｐゴシック"/>
      <family val="3"/>
    </font>
    <font>
      <b/>
      <sz val="9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color indexed="63"/>
      <name val="Arial"/>
      <family val="2"/>
    </font>
    <font>
      <b/>
      <sz val="10"/>
      <color indexed="60"/>
      <name val="Arial"/>
      <family val="2"/>
    </font>
    <font>
      <sz val="9"/>
      <name val="MS UI Gothic"/>
      <family val="3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97">
    <border>
      <left/>
      <right/>
      <top/>
      <bottom/>
      <diagonal/>
    </border>
    <border>
      <left style="medium">
        <color indexed="23"/>
      </left>
      <right style="hair"/>
      <top style="thin"/>
      <bottom style="hair"/>
    </border>
    <border>
      <left style="medium">
        <color indexed="23"/>
      </left>
      <right style="hair"/>
      <top style="hair"/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hair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hair">
        <color indexed="23"/>
      </bottom>
    </border>
    <border>
      <left>
        <color indexed="63"/>
      </left>
      <right style="thin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hair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 style="thin">
        <color indexed="23"/>
      </left>
      <right>
        <color indexed="63"/>
      </right>
      <top style="hair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 style="thick">
        <color indexed="44"/>
      </left>
      <right style="thick">
        <color indexed="44"/>
      </right>
      <top style="thick">
        <color indexed="44"/>
      </top>
      <bottom style="thick">
        <color indexed="44"/>
      </bottom>
    </border>
    <border>
      <left style="hair">
        <color indexed="23"/>
      </left>
      <right style="hair">
        <color indexed="23"/>
      </right>
      <top>
        <color indexed="63"/>
      </top>
      <bottom style="hair"/>
    </border>
    <border>
      <left style="hair">
        <color indexed="23"/>
      </left>
      <right style="hair">
        <color indexed="23"/>
      </right>
      <top style="hair"/>
      <bottom style="thin">
        <color indexed="2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medium">
        <color indexed="23"/>
      </top>
      <bottom style="hair"/>
    </border>
    <border>
      <left style="hair">
        <color indexed="23"/>
      </left>
      <right style="medium">
        <color indexed="23"/>
      </right>
      <top style="medium">
        <color indexed="23"/>
      </top>
      <bottom style="hair"/>
    </border>
    <border>
      <left style="hair">
        <color indexed="23"/>
      </left>
      <right style="hair">
        <color indexed="23"/>
      </right>
      <top style="hair"/>
      <bottom style="thin"/>
    </border>
    <border>
      <left style="hair">
        <color indexed="23"/>
      </left>
      <right style="medium">
        <color indexed="23"/>
      </right>
      <top style="hair"/>
      <bottom style="thin"/>
    </border>
    <border>
      <left style="hair">
        <color indexed="23"/>
      </left>
      <right style="medium">
        <color indexed="23"/>
      </right>
      <top>
        <color indexed="63"/>
      </top>
      <bottom style="hair"/>
    </border>
    <border>
      <left style="hair">
        <color indexed="23"/>
      </left>
      <right style="hair">
        <color indexed="23"/>
      </right>
      <top style="hair"/>
      <bottom style="hair"/>
    </border>
    <border>
      <left style="hair">
        <color indexed="23"/>
      </left>
      <right style="medium">
        <color indexed="23"/>
      </right>
      <top style="hair"/>
      <bottom style="hair"/>
    </border>
    <border>
      <left style="hair">
        <color indexed="23"/>
      </left>
      <right style="medium">
        <color indexed="23"/>
      </right>
      <top style="hair"/>
      <bottom style="thin">
        <color indexed="23"/>
      </bottom>
    </border>
    <border>
      <left style="hair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hair">
        <color indexed="23"/>
      </right>
      <top style="medium">
        <color indexed="23"/>
      </top>
      <bottom style="hair"/>
    </border>
    <border>
      <left style="thin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hair"/>
    </border>
    <border>
      <left>
        <color indexed="63"/>
      </left>
      <right>
        <color indexed="63"/>
      </right>
      <top style="medium">
        <color indexed="23"/>
      </top>
      <bottom style="hair"/>
    </border>
    <border>
      <left>
        <color indexed="63"/>
      </left>
      <right style="thin">
        <color indexed="23"/>
      </right>
      <top style="medium">
        <color indexed="23"/>
      </top>
      <bottom style="hair"/>
    </border>
    <border>
      <left style="medium">
        <color indexed="2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>
        <color indexed="23"/>
      </right>
      <top style="hair"/>
      <bottom style="thin"/>
    </border>
    <border>
      <left style="thin">
        <color indexed="23"/>
      </left>
      <right style="hair">
        <color indexed="23"/>
      </right>
      <top style="hair"/>
      <bottom style="thin"/>
    </border>
    <border>
      <left style="medium">
        <color indexed="2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>
        <color indexed="23"/>
      </right>
      <top style="hair"/>
      <bottom style="hair"/>
    </border>
    <border>
      <left style="thin">
        <color indexed="23"/>
      </left>
      <right style="hair">
        <color indexed="23"/>
      </right>
      <top style="hair"/>
      <bottom style="hair"/>
    </border>
    <border>
      <left style="medium">
        <color indexed="2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>
        <color indexed="23"/>
      </right>
      <top>
        <color indexed="63"/>
      </top>
      <bottom style="hair"/>
    </border>
    <border>
      <left style="medium">
        <color indexed="23"/>
      </left>
      <right>
        <color indexed="63"/>
      </right>
      <top style="thin">
        <color indexed="23"/>
      </top>
      <bottom style="thin"/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>
        <color indexed="63"/>
      </left>
      <right style="thin">
        <color indexed="23"/>
      </right>
      <top style="thin">
        <color indexed="23"/>
      </top>
      <bottom style="thin"/>
    </border>
    <border>
      <left style="medium">
        <color indexed="2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>
        <color indexed="23"/>
      </right>
      <top style="hair"/>
      <bottom>
        <color indexed="63"/>
      </bottom>
    </border>
    <border>
      <left style="thin">
        <color indexed="23"/>
      </left>
      <right style="hair">
        <color indexed="23"/>
      </right>
      <top style="hair"/>
      <bottom style="thin">
        <color indexed="23"/>
      </bottom>
    </border>
    <border>
      <left style="thin">
        <color indexed="23"/>
      </left>
      <right style="hair">
        <color indexed="23"/>
      </right>
      <top>
        <color indexed="63"/>
      </top>
      <bottom style="hair"/>
    </border>
    <border>
      <left style="thin">
        <color indexed="23"/>
      </left>
      <right>
        <color indexed="63"/>
      </right>
      <top style="hair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medium">
        <color indexed="23"/>
      </bottom>
    </border>
    <border>
      <left>
        <color indexed="63"/>
      </left>
      <right style="hair"/>
      <top style="hair">
        <color indexed="23"/>
      </top>
      <bottom style="medium">
        <color indexed="23"/>
      </bottom>
    </border>
    <border>
      <left>
        <color indexed="63"/>
      </left>
      <right style="hair"/>
      <top style="thin">
        <color indexed="23"/>
      </top>
      <bottom style="hair">
        <color indexed="23"/>
      </bottom>
    </border>
    <border>
      <left style="hair"/>
      <right style="hair"/>
      <top style="thin"/>
      <bottom style="hair"/>
    </border>
    <border>
      <left style="hair"/>
      <right style="thin">
        <color indexed="23"/>
      </right>
      <top style="thin"/>
      <bottom style="hair"/>
    </border>
    <border>
      <left style="thin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/>
      <right style="hair"/>
      <top style="hair"/>
      <bottom style="medium">
        <color indexed="23"/>
      </bottom>
    </border>
    <border>
      <left style="hair"/>
      <right style="thin">
        <color indexed="23"/>
      </right>
      <top style="hair"/>
      <bottom style="medium">
        <color indexed="23"/>
      </bottom>
    </border>
    <border>
      <left style="hair"/>
      <right>
        <color indexed="63"/>
      </right>
      <top style="hair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hair"/>
      <right>
        <color indexed="63"/>
      </right>
      <top style="thin">
        <color indexed="23"/>
      </top>
      <bottom style="hair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hair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hair">
        <color indexed="23"/>
      </left>
      <right style="hair">
        <color indexed="23"/>
      </right>
      <top style="thin">
        <color indexed="23"/>
      </top>
      <bottom style="thin">
        <color indexed="23"/>
      </bottom>
    </border>
    <border>
      <left style="hair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hair">
        <color indexed="23"/>
      </right>
      <top style="thin">
        <color indexed="23"/>
      </top>
      <bottom style="thin">
        <color indexed="23"/>
      </bottom>
    </border>
    <border>
      <left style="hair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hair">
        <color indexed="23"/>
      </left>
      <right style="hair">
        <color indexed="23"/>
      </right>
      <top>
        <color indexed="63"/>
      </top>
      <bottom style="medium">
        <color indexed="23"/>
      </bottom>
    </border>
    <border>
      <left style="hair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medium">
        <color indexed="23"/>
      </bottom>
    </border>
    <border>
      <left style="thin">
        <color indexed="23"/>
      </left>
      <right style="hair">
        <color indexed="23"/>
      </right>
      <top>
        <color indexed="63"/>
      </top>
      <bottom style="medium">
        <color indexed="23"/>
      </bottom>
    </border>
    <border>
      <left style="hair">
        <color indexed="23"/>
      </left>
      <right style="thin">
        <color indexed="23"/>
      </right>
      <top>
        <color indexed="63"/>
      </top>
      <bottom style="medium">
        <color indexed="23"/>
      </bottom>
    </border>
    <border>
      <left style="thin">
        <color indexed="23"/>
      </left>
      <right style="hair">
        <color indexed="23"/>
      </right>
      <top style="thin">
        <color indexed="23"/>
      </top>
      <bottom style="thin">
        <color indexed="23"/>
      </bottom>
    </border>
    <border>
      <left style="hair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medium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thin">
        <color indexed="2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</cellStyleXfs>
  <cellXfs count="18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82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7" fillId="0" borderId="0" xfId="21" applyFont="1">
      <alignment/>
      <protection/>
    </xf>
    <xf numFmtId="183" fontId="5" fillId="2" borderId="1" xfId="0" applyNumberFormat="1" applyFont="1" applyFill="1" applyBorder="1" applyAlignment="1">
      <alignment horizontal="center" vertical="center" shrinkToFit="1"/>
    </xf>
    <xf numFmtId="183" fontId="10" fillId="2" borderId="2" xfId="0" applyNumberFormat="1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5" fillId="0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0" fontId="10" fillId="2" borderId="11" xfId="0" applyFont="1" applyFill="1" applyBorder="1" applyAlignment="1">
      <alignment horizontal="right" vertical="center"/>
    </xf>
    <xf numFmtId="0" fontId="10" fillId="2" borderId="12" xfId="0" applyFont="1" applyFill="1" applyBorder="1" applyAlignment="1">
      <alignment horizontal="right" vertical="center"/>
    </xf>
    <xf numFmtId="184" fontId="7" fillId="0" borderId="0" xfId="0" applyNumberFormat="1" applyFont="1" applyAlignment="1">
      <alignment vertical="center"/>
    </xf>
    <xf numFmtId="185" fontId="7" fillId="0" borderId="0" xfId="0" applyNumberFormat="1" applyFont="1" applyAlignment="1">
      <alignment vertical="center"/>
    </xf>
    <xf numFmtId="0" fontId="10" fillId="2" borderId="11" xfId="0" applyFont="1" applyFill="1" applyBorder="1" applyAlignment="1">
      <alignment vertical="center"/>
    </xf>
    <xf numFmtId="0" fontId="10" fillId="2" borderId="13" xfId="0" applyFont="1" applyFill="1" applyBorder="1" applyAlignment="1">
      <alignment wrapText="1"/>
    </xf>
    <xf numFmtId="0" fontId="10" fillId="2" borderId="11" xfId="0" applyFont="1" applyFill="1" applyBorder="1" applyAlignment="1">
      <alignment wrapText="1"/>
    </xf>
    <xf numFmtId="0" fontId="19" fillId="0" borderId="0" xfId="0" applyFont="1" applyAlignment="1">
      <alignment vertical="center"/>
    </xf>
    <xf numFmtId="0" fontId="10" fillId="0" borderId="14" xfId="0" applyNumberFormat="1" applyFont="1" applyFill="1" applyBorder="1" applyAlignment="1">
      <alignment vertical="center"/>
    </xf>
    <xf numFmtId="0" fontId="10" fillId="0" borderId="15" xfId="0" applyNumberFormat="1" applyFont="1" applyFill="1" applyBorder="1" applyAlignment="1">
      <alignment vertical="center"/>
    </xf>
    <xf numFmtId="0" fontId="10" fillId="0" borderId="16" xfId="0" applyNumberFormat="1" applyFont="1" applyFill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NumberFormat="1" applyFont="1" applyFill="1" applyBorder="1" applyAlignment="1">
      <alignment vertical="center"/>
    </xf>
    <xf numFmtId="0" fontId="10" fillId="0" borderId="19" xfId="0" applyNumberFormat="1" applyFont="1" applyFill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190" fontId="7" fillId="0" borderId="0" xfId="0" applyNumberFormat="1" applyFont="1" applyAlignment="1">
      <alignment vertical="center"/>
    </xf>
    <xf numFmtId="0" fontId="10" fillId="0" borderId="2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22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0" fillId="0" borderId="22" xfId="0" applyNumberFormat="1" applyFont="1" applyFill="1" applyBorder="1" applyAlignment="1">
      <alignment vertical="center"/>
    </xf>
    <xf numFmtId="0" fontId="5" fillId="0" borderId="22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23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183" fontId="2" fillId="0" borderId="0" xfId="0" applyNumberFormat="1" applyFont="1" applyAlignment="1">
      <alignment vertical="center"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180" fontId="2" fillId="0" borderId="0" xfId="0" applyNumberFormat="1" applyFont="1" applyAlignment="1">
      <alignment vertical="center"/>
    </xf>
    <xf numFmtId="194" fontId="19" fillId="0" borderId="0" xfId="0" applyNumberFormat="1" applyFont="1" applyAlignment="1">
      <alignment vertical="center"/>
    </xf>
    <xf numFmtId="177" fontId="10" fillId="0" borderId="24" xfId="0" applyNumberFormat="1" applyFont="1" applyFill="1" applyBorder="1" applyAlignment="1">
      <alignment horizontal="center" vertical="center"/>
    </xf>
    <xf numFmtId="177" fontId="10" fillId="0" borderId="25" xfId="0" applyNumberFormat="1" applyFont="1" applyFill="1" applyBorder="1" applyAlignment="1">
      <alignment horizontal="center" vertical="center"/>
    </xf>
    <xf numFmtId="9" fontId="10" fillId="0" borderId="26" xfId="0" applyNumberFormat="1" applyFont="1" applyFill="1" applyBorder="1" applyAlignment="1">
      <alignment horizontal="center" vertical="center"/>
    </xf>
    <xf numFmtId="183" fontId="10" fillId="0" borderId="27" xfId="0" applyNumberFormat="1" applyFont="1" applyFill="1" applyBorder="1" applyAlignment="1">
      <alignment horizontal="center" vertical="center"/>
    </xf>
    <xf numFmtId="183" fontId="10" fillId="0" borderId="28" xfId="0" applyNumberFormat="1" applyFont="1" applyFill="1" applyBorder="1" applyAlignment="1">
      <alignment horizontal="center" vertical="center"/>
    </xf>
    <xf numFmtId="184" fontId="10" fillId="0" borderId="29" xfId="0" applyNumberFormat="1" applyFont="1" applyFill="1" applyBorder="1" applyAlignment="1">
      <alignment horizontal="center" vertical="center"/>
    </xf>
    <xf numFmtId="184" fontId="10" fillId="0" borderId="30" xfId="0" applyNumberFormat="1" applyFont="1" applyFill="1" applyBorder="1" applyAlignment="1">
      <alignment horizontal="center" vertical="center"/>
    </xf>
    <xf numFmtId="177" fontId="10" fillId="0" borderId="31" xfId="0" applyNumberFormat="1" applyFont="1" applyFill="1" applyBorder="1" applyAlignment="1">
      <alignment horizontal="center" vertical="center"/>
    </xf>
    <xf numFmtId="177" fontId="10" fillId="0" borderId="32" xfId="0" applyNumberFormat="1" applyFont="1" applyFill="1" applyBorder="1" applyAlignment="1">
      <alignment horizontal="center" vertical="center"/>
    </xf>
    <xf numFmtId="177" fontId="10" fillId="0" borderId="33" xfId="0" applyNumberFormat="1" applyFont="1" applyFill="1" applyBorder="1" applyAlignment="1">
      <alignment horizontal="center" vertical="center"/>
    </xf>
    <xf numFmtId="177" fontId="13" fillId="0" borderId="32" xfId="0" applyNumberFormat="1" applyFont="1" applyFill="1" applyBorder="1" applyAlignment="1">
      <alignment horizontal="center" vertical="center"/>
    </xf>
    <xf numFmtId="177" fontId="13" fillId="0" borderId="33" xfId="0" applyNumberFormat="1" applyFont="1" applyFill="1" applyBorder="1" applyAlignment="1">
      <alignment horizontal="center" vertical="center"/>
    </xf>
    <xf numFmtId="177" fontId="10" fillId="0" borderId="34" xfId="0" applyNumberFormat="1" applyFont="1" applyFill="1" applyBorder="1" applyAlignment="1">
      <alignment horizontal="center" vertical="center"/>
    </xf>
    <xf numFmtId="9" fontId="10" fillId="0" borderId="35" xfId="0" applyNumberFormat="1" applyFont="1" applyFill="1" applyBorder="1" applyAlignment="1">
      <alignment horizontal="center" vertical="center"/>
    </xf>
    <xf numFmtId="178" fontId="7" fillId="0" borderId="0" xfId="0" applyNumberFormat="1" applyFont="1" applyAlignment="1">
      <alignment vertical="center"/>
    </xf>
    <xf numFmtId="178" fontId="8" fillId="0" borderId="0" xfId="0" applyNumberFormat="1" applyFont="1" applyAlignment="1">
      <alignment vertical="center"/>
    </xf>
    <xf numFmtId="181" fontId="8" fillId="0" borderId="0" xfId="0" applyNumberFormat="1" applyFont="1" applyAlignment="1">
      <alignment vertical="center"/>
    </xf>
    <xf numFmtId="20" fontId="7" fillId="0" borderId="0" xfId="0" applyNumberFormat="1" applyFont="1" applyAlignment="1">
      <alignment vertical="center"/>
    </xf>
    <xf numFmtId="181" fontId="7" fillId="0" borderId="0" xfId="0" applyNumberFormat="1" applyFont="1" applyAlignment="1">
      <alignment vertical="center"/>
    </xf>
    <xf numFmtId="181" fontId="10" fillId="0" borderId="0" xfId="0" applyNumberFormat="1" applyFont="1" applyAlignment="1">
      <alignment vertical="center"/>
    </xf>
    <xf numFmtId="181" fontId="5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10" fillId="2" borderId="11" xfId="0" applyFont="1" applyFill="1" applyBorder="1" applyAlignment="1">
      <alignment horizontal="right" vertical="center"/>
    </xf>
    <xf numFmtId="183" fontId="10" fillId="0" borderId="36" xfId="0" applyNumberFormat="1" applyFont="1" applyFill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 shrinkToFit="1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10" fillId="2" borderId="46" xfId="0" applyFont="1" applyFill="1" applyBorder="1" applyAlignment="1">
      <alignment horizontal="center" vertical="center" shrinkToFit="1"/>
    </xf>
    <xf numFmtId="0" fontId="10" fillId="2" borderId="47" xfId="0" applyFont="1" applyFill="1" applyBorder="1" applyAlignment="1">
      <alignment horizontal="center" vertical="center" shrinkToFit="1"/>
    </xf>
    <xf numFmtId="0" fontId="10" fillId="2" borderId="48" xfId="0" applyFont="1" applyFill="1" applyBorder="1" applyAlignment="1">
      <alignment horizontal="center" vertical="center" shrinkToFit="1"/>
    </xf>
    <xf numFmtId="184" fontId="10" fillId="0" borderId="49" xfId="0" applyNumberFormat="1" applyFont="1" applyFill="1" applyBorder="1" applyAlignment="1">
      <alignment horizontal="center" vertical="center"/>
    </xf>
    <xf numFmtId="0" fontId="10" fillId="2" borderId="5" xfId="0" applyNumberFormat="1" applyFont="1" applyFill="1" applyBorder="1" applyAlignment="1">
      <alignment horizontal="center" vertical="center"/>
    </xf>
    <xf numFmtId="0" fontId="10" fillId="2" borderId="0" xfId="0" applyNumberFormat="1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 shrinkToFit="1"/>
    </xf>
    <xf numFmtId="0" fontId="5" fillId="2" borderId="51" xfId="0" applyFont="1" applyFill="1" applyBorder="1" applyAlignment="1">
      <alignment horizontal="center" vertical="center" shrinkToFit="1"/>
    </xf>
    <xf numFmtId="0" fontId="5" fillId="2" borderId="52" xfId="0" applyFont="1" applyFill="1" applyBorder="1" applyAlignment="1">
      <alignment horizontal="center" vertical="center" shrinkToFit="1"/>
    </xf>
    <xf numFmtId="177" fontId="13" fillId="0" borderId="53" xfId="0" applyNumberFormat="1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 shrinkToFit="1"/>
    </xf>
    <xf numFmtId="0" fontId="5" fillId="2" borderId="55" xfId="0" applyFont="1" applyFill="1" applyBorder="1" applyAlignment="1">
      <alignment horizontal="center" vertical="center" shrinkToFit="1"/>
    </xf>
    <xf numFmtId="0" fontId="5" fillId="2" borderId="56" xfId="0" applyFont="1" applyFill="1" applyBorder="1" applyAlignment="1">
      <alignment horizontal="center" vertical="center" shrinkToFit="1"/>
    </xf>
    <xf numFmtId="0" fontId="5" fillId="2" borderId="57" xfId="0" applyFont="1" applyFill="1" applyBorder="1" applyAlignment="1">
      <alignment horizontal="center" vertical="center" shrinkToFit="1"/>
    </xf>
    <xf numFmtId="0" fontId="5" fillId="2" borderId="58" xfId="0" applyFont="1" applyFill="1" applyBorder="1" applyAlignment="1">
      <alignment horizontal="center" vertical="center" shrinkToFit="1"/>
    </xf>
    <xf numFmtId="0" fontId="5" fillId="2" borderId="59" xfId="0" applyFont="1" applyFill="1" applyBorder="1" applyAlignment="1">
      <alignment horizontal="center" vertical="center" shrinkToFit="1"/>
    </xf>
    <xf numFmtId="0" fontId="5" fillId="2" borderId="60" xfId="0" applyFont="1" applyFill="1" applyBorder="1" applyAlignment="1">
      <alignment horizontal="center" vertical="center" shrinkToFit="1"/>
    </xf>
    <xf numFmtId="0" fontId="5" fillId="2" borderId="61" xfId="0" applyFont="1" applyFill="1" applyBorder="1" applyAlignment="1">
      <alignment horizontal="center" vertical="center" shrinkToFit="1"/>
    </xf>
    <xf numFmtId="0" fontId="5" fillId="2" borderId="62" xfId="0" applyFont="1" applyFill="1" applyBorder="1" applyAlignment="1">
      <alignment horizontal="center" vertical="center" shrinkToFit="1"/>
    </xf>
    <xf numFmtId="177" fontId="10" fillId="0" borderId="63" xfId="0" applyNumberFormat="1" applyFont="1" applyFill="1" applyBorder="1" applyAlignment="1">
      <alignment horizontal="center" vertical="center"/>
    </xf>
    <xf numFmtId="177" fontId="10" fillId="0" borderId="64" xfId="0" applyNumberFormat="1" applyFont="1" applyFill="1" applyBorder="1" applyAlignment="1">
      <alignment horizontal="center" vertical="center"/>
    </xf>
    <xf numFmtId="177" fontId="10" fillId="0" borderId="53" xfId="0" applyNumberFormat="1" applyFont="1" applyFill="1" applyBorder="1" applyAlignment="1">
      <alignment horizontal="center" vertical="center"/>
    </xf>
    <xf numFmtId="0" fontId="10" fillId="0" borderId="65" xfId="0" applyNumberFormat="1" applyFont="1" applyFill="1" applyBorder="1" applyAlignment="1">
      <alignment horizontal="center" vertical="center"/>
    </xf>
    <xf numFmtId="0" fontId="10" fillId="0" borderId="66" xfId="0" applyNumberFormat="1" applyFont="1" applyFill="1" applyBorder="1" applyAlignment="1">
      <alignment horizontal="center" vertical="center"/>
    </xf>
    <xf numFmtId="0" fontId="10" fillId="0" borderId="67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10" fillId="0" borderId="68" xfId="0" applyNumberFormat="1" applyFont="1" applyFill="1" applyBorder="1" applyAlignment="1">
      <alignment horizontal="center" vertical="center"/>
    </xf>
    <xf numFmtId="183" fontId="5" fillId="2" borderId="69" xfId="0" applyNumberFormat="1" applyFont="1" applyFill="1" applyBorder="1" applyAlignment="1">
      <alignment horizontal="center" vertical="center" shrinkToFit="1"/>
    </xf>
    <xf numFmtId="183" fontId="5" fillId="2" borderId="70" xfId="0" applyNumberFormat="1" applyFont="1" applyFill="1" applyBorder="1" applyAlignment="1">
      <alignment horizontal="center" vertical="center" shrinkToFit="1"/>
    </xf>
    <xf numFmtId="9" fontId="10" fillId="0" borderId="71" xfId="0" applyNumberFormat="1" applyFont="1" applyFill="1" applyBorder="1" applyAlignment="1">
      <alignment horizontal="center" vertical="center"/>
    </xf>
    <xf numFmtId="183" fontId="5" fillId="3" borderId="72" xfId="0" applyNumberFormat="1" applyFont="1" applyFill="1" applyBorder="1" applyAlignment="1">
      <alignment horizontal="center" vertical="center" shrinkToFit="1"/>
    </xf>
    <xf numFmtId="183" fontId="10" fillId="3" borderId="73" xfId="0" applyNumberFormat="1" applyFont="1" applyFill="1" applyBorder="1" applyAlignment="1">
      <alignment horizontal="center" vertical="center" shrinkToFit="1"/>
    </xf>
    <xf numFmtId="0" fontId="10" fillId="3" borderId="74" xfId="0" applyNumberFormat="1" applyFont="1" applyFill="1" applyBorder="1" applyAlignment="1">
      <alignment horizontal="center" vertical="center" shrinkToFit="1"/>
    </xf>
    <xf numFmtId="0" fontId="10" fillId="3" borderId="66" xfId="0" applyNumberFormat="1" applyFont="1" applyFill="1" applyBorder="1" applyAlignment="1">
      <alignment horizontal="center" vertical="center" shrinkToFit="1"/>
    </xf>
    <xf numFmtId="0" fontId="10" fillId="3" borderId="75" xfId="0" applyNumberFormat="1" applyFont="1" applyFill="1" applyBorder="1" applyAlignment="1">
      <alignment horizontal="center" vertical="center" shrinkToFit="1"/>
    </xf>
    <xf numFmtId="0" fontId="10" fillId="0" borderId="76" xfId="0" applyNumberFormat="1" applyFont="1" applyFill="1" applyBorder="1" applyAlignment="1">
      <alignment horizontal="center" vertical="center"/>
    </xf>
    <xf numFmtId="0" fontId="10" fillId="0" borderId="77" xfId="0" applyNumberFormat="1" applyFont="1" applyFill="1" applyBorder="1" applyAlignment="1">
      <alignment horizontal="center" vertical="center"/>
    </xf>
    <xf numFmtId="185" fontId="10" fillId="4" borderId="78" xfId="0" applyNumberFormat="1" applyFont="1" applyFill="1" applyBorder="1" applyAlignment="1">
      <alignment vertical="center"/>
    </xf>
    <xf numFmtId="185" fontId="10" fillId="4" borderId="79" xfId="0" applyNumberFormat="1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188" fontId="10" fillId="4" borderId="79" xfId="0" applyNumberFormat="1" applyFont="1" applyFill="1" applyBorder="1" applyAlignment="1">
      <alignment horizontal="left" vertical="center"/>
    </xf>
    <xf numFmtId="188" fontId="10" fillId="4" borderId="80" xfId="0" applyNumberFormat="1" applyFont="1" applyFill="1" applyBorder="1" applyAlignment="1">
      <alignment horizontal="left" vertical="center"/>
    </xf>
    <xf numFmtId="183" fontId="5" fillId="2" borderId="81" xfId="0" applyNumberFormat="1" applyFont="1" applyFill="1" applyBorder="1" applyAlignment="1">
      <alignment horizontal="center" vertical="center" shrinkToFit="1"/>
    </xf>
    <xf numFmtId="183" fontId="5" fillId="2" borderId="82" xfId="0" applyNumberFormat="1" applyFont="1" applyFill="1" applyBorder="1" applyAlignment="1">
      <alignment horizontal="center" vertical="center" shrinkToFit="1"/>
    </xf>
    <xf numFmtId="183" fontId="5" fillId="3" borderId="83" xfId="0" applyNumberFormat="1" applyFont="1" applyFill="1" applyBorder="1" applyAlignment="1">
      <alignment horizontal="center" vertical="center" shrinkToFit="1"/>
    </xf>
    <xf numFmtId="183" fontId="10" fillId="3" borderId="83" xfId="0" applyNumberFormat="1" applyFont="1" applyFill="1" applyBorder="1" applyAlignment="1">
      <alignment horizontal="center" vertical="center" shrinkToFit="1"/>
    </xf>
    <xf numFmtId="183" fontId="10" fillId="2" borderId="83" xfId="0" applyNumberFormat="1" applyFont="1" applyFill="1" applyBorder="1" applyAlignment="1">
      <alignment horizontal="center" vertical="center" shrinkToFit="1"/>
    </xf>
    <xf numFmtId="193" fontId="10" fillId="5" borderId="84" xfId="0" applyNumberFormat="1" applyFont="1" applyFill="1" applyBorder="1" applyAlignment="1">
      <alignment horizontal="center" vertical="center" shrinkToFit="1"/>
    </xf>
    <xf numFmtId="193" fontId="10" fillId="5" borderId="81" xfId="0" applyNumberFormat="1" applyFont="1" applyFill="1" applyBorder="1" applyAlignment="1">
      <alignment horizontal="center" vertical="center" shrinkToFit="1"/>
    </xf>
    <xf numFmtId="193" fontId="10" fillId="5" borderId="85" xfId="0" applyNumberFormat="1" applyFont="1" applyFill="1" applyBorder="1" applyAlignment="1">
      <alignment horizontal="center" vertical="center" shrinkToFit="1"/>
    </xf>
    <xf numFmtId="0" fontId="10" fillId="0" borderId="86" xfId="0" applyNumberFormat="1" applyFont="1" applyFill="1" applyBorder="1" applyAlignment="1">
      <alignment horizontal="center" vertical="center"/>
    </xf>
    <xf numFmtId="0" fontId="10" fillId="0" borderId="87" xfId="0" applyNumberFormat="1" applyFont="1" applyFill="1" applyBorder="1" applyAlignment="1">
      <alignment horizontal="center" vertical="center"/>
    </xf>
    <xf numFmtId="0" fontId="10" fillId="3" borderId="88" xfId="0" applyNumberFormat="1" applyFont="1" applyFill="1" applyBorder="1" applyAlignment="1">
      <alignment horizontal="center" vertical="center" shrinkToFit="1"/>
    </xf>
    <xf numFmtId="187" fontId="10" fillId="0" borderId="88" xfId="0" applyNumberFormat="1" applyFont="1" applyFill="1" applyBorder="1" applyAlignment="1">
      <alignment horizontal="center" vertical="center"/>
    </xf>
    <xf numFmtId="0" fontId="17" fillId="6" borderId="89" xfId="0" applyFont="1" applyFill="1" applyBorder="1" applyAlignment="1">
      <alignment horizontal="center" vertical="center"/>
    </xf>
    <xf numFmtId="0" fontId="17" fillId="6" borderId="90" xfId="0" applyFont="1" applyFill="1" applyBorder="1" applyAlignment="1">
      <alignment horizontal="center" vertical="center"/>
    </xf>
    <xf numFmtId="0" fontId="5" fillId="2" borderId="91" xfId="0" applyFont="1" applyFill="1" applyBorder="1" applyAlignment="1">
      <alignment horizontal="center" vertical="center" shrinkToFit="1"/>
    </xf>
    <xf numFmtId="0" fontId="5" fillId="2" borderId="92" xfId="0" applyFont="1" applyFill="1" applyBorder="1" applyAlignment="1">
      <alignment horizontal="center" vertical="center" shrinkToFit="1"/>
    </xf>
    <xf numFmtId="183" fontId="5" fillId="2" borderId="84" xfId="0" applyNumberFormat="1" applyFont="1" applyFill="1" applyBorder="1" applyAlignment="1">
      <alignment horizontal="center" vertical="center" shrinkToFit="1"/>
    </xf>
    <xf numFmtId="0" fontId="10" fillId="0" borderId="93" xfId="0" applyNumberFormat="1" applyFont="1" applyFill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10" fillId="0" borderId="38" xfId="0" applyFont="1" applyBorder="1" applyAlignment="1">
      <alignment horizontal="center" vertical="top"/>
    </xf>
    <xf numFmtId="0" fontId="10" fillId="0" borderId="39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40" xfId="0" applyFont="1" applyBorder="1" applyAlignment="1">
      <alignment horizontal="center" vertical="top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akuritudaen_0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51"/>
          <c:w val="0.96475"/>
          <c:h val="0.916"/>
        </c:manualLayout>
      </c:layout>
      <c:scatterChart>
        <c:scatterStyle val="lineMarker"/>
        <c:varyColors val="0"/>
        <c:ser>
          <c:idx val="5"/>
          <c:order val="0"/>
          <c:tx>
            <c:strRef>
              <c:f>Graph_Data!$F$7</c:f>
              <c:strCache>
                <c:ptCount val="1"/>
                <c:pt idx="0">
                  <c:v>周辺_1m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Graph_Data!$D$11:$D$292</c:f>
              <c:numCache>
                <c:ptCount val="282"/>
                <c:pt idx="0">
                  <c:v>40758</c:v>
                </c:pt>
                <c:pt idx="1">
                  <c:v>40758</c:v>
                </c:pt>
                <c:pt idx="2">
                  <c:v>40758</c:v>
                </c:pt>
                <c:pt idx="3">
                  <c:v>40758</c:v>
                </c:pt>
                <c:pt idx="4">
                  <c:v>40758</c:v>
                </c:pt>
                <c:pt idx="5">
                  <c:v>40758</c:v>
                </c:pt>
                <c:pt idx="6">
                  <c:v>40758</c:v>
                </c:pt>
                <c:pt idx="7">
                  <c:v>40758</c:v>
                </c:pt>
                <c:pt idx="8">
                  <c:v>40758</c:v>
                </c:pt>
                <c:pt idx="9">
                  <c:v>40758</c:v>
                </c:pt>
                <c:pt idx="10">
                  <c:v>40758</c:v>
                </c:pt>
                <c:pt idx="11">
                  <c:v>40758</c:v>
                </c:pt>
                <c:pt idx="12">
                  <c:v>40758</c:v>
                </c:pt>
                <c:pt idx="13">
                  <c:v>40758</c:v>
                </c:pt>
                <c:pt idx="15">
                  <c:v>40873</c:v>
                </c:pt>
                <c:pt idx="16">
                  <c:v>40873</c:v>
                </c:pt>
                <c:pt idx="17">
                  <c:v>40873</c:v>
                </c:pt>
                <c:pt idx="18">
                  <c:v>40873</c:v>
                </c:pt>
                <c:pt idx="19">
                  <c:v>40873</c:v>
                </c:pt>
                <c:pt idx="20">
                  <c:v>40873</c:v>
                </c:pt>
                <c:pt idx="21">
                  <c:v>40873</c:v>
                </c:pt>
                <c:pt idx="22">
                  <c:v>40873</c:v>
                </c:pt>
                <c:pt idx="23">
                  <c:v>40873</c:v>
                </c:pt>
                <c:pt idx="24">
                  <c:v>40873</c:v>
                </c:pt>
                <c:pt idx="25">
                  <c:v>40873</c:v>
                </c:pt>
                <c:pt idx="26">
                  <c:v>40873</c:v>
                </c:pt>
                <c:pt idx="27">
                  <c:v>40873</c:v>
                </c:pt>
                <c:pt idx="28">
                  <c:v>40873</c:v>
                </c:pt>
                <c:pt idx="30">
                  <c:v>40986</c:v>
                </c:pt>
                <c:pt idx="31">
                  <c:v>40986</c:v>
                </c:pt>
                <c:pt idx="32">
                  <c:v>40986</c:v>
                </c:pt>
                <c:pt idx="33">
                  <c:v>40986</c:v>
                </c:pt>
                <c:pt idx="34">
                  <c:v>40986</c:v>
                </c:pt>
                <c:pt idx="35">
                  <c:v>40986</c:v>
                </c:pt>
                <c:pt idx="36">
                  <c:v>40986</c:v>
                </c:pt>
                <c:pt idx="37">
                  <c:v>40986</c:v>
                </c:pt>
                <c:pt idx="38">
                  <c:v>40986</c:v>
                </c:pt>
                <c:pt idx="39">
                  <c:v>40986</c:v>
                </c:pt>
                <c:pt idx="40">
                  <c:v>40986</c:v>
                </c:pt>
                <c:pt idx="41">
                  <c:v>40986</c:v>
                </c:pt>
                <c:pt idx="42">
                  <c:v>40986</c:v>
                </c:pt>
                <c:pt idx="43">
                  <c:v>40986</c:v>
                </c:pt>
                <c:pt idx="45">
                  <c:v>41055</c:v>
                </c:pt>
                <c:pt idx="46">
                  <c:v>41055</c:v>
                </c:pt>
                <c:pt idx="47">
                  <c:v>41055</c:v>
                </c:pt>
                <c:pt idx="48">
                  <c:v>41055</c:v>
                </c:pt>
                <c:pt idx="49">
                  <c:v>41055</c:v>
                </c:pt>
                <c:pt idx="50">
                  <c:v>41055</c:v>
                </c:pt>
                <c:pt idx="51">
                  <c:v>41055</c:v>
                </c:pt>
                <c:pt idx="52">
                  <c:v>41055</c:v>
                </c:pt>
                <c:pt idx="53">
                  <c:v>41055</c:v>
                </c:pt>
                <c:pt idx="54">
                  <c:v>41055</c:v>
                </c:pt>
                <c:pt idx="55">
                  <c:v>41055</c:v>
                </c:pt>
                <c:pt idx="56">
                  <c:v>41055</c:v>
                </c:pt>
                <c:pt idx="57">
                  <c:v>41055</c:v>
                </c:pt>
                <c:pt idx="58">
                  <c:v>41055</c:v>
                </c:pt>
                <c:pt idx="60">
                  <c:v>41189</c:v>
                </c:pt>
                <c:pt idx="61">
                  <c:v>41189</c:v>
                </c:pt>
                <c:pt idx="62">
                  <c:v>41189</c:v>
                </c:pt>
                <c:pt idx="63">
                  <c:v>41189</c:v>
                </c:pt>
                <c:pt idx="64">
                  <c:v>41189</c:v>
                </c:pt>
                <c:pt idx="65">
                  <c:v>41189</c:v>
                </c:pt>
                <c:pt idx="66">
                  <c:v>41189</c:v>
                </c:pt>
                <c:pt idx="67">
                  <c:v>41189</c:v>
                </c:pt>
                <c:pt idx="68">
                  <c:v>41189</c:v>
                </c:pt>
                <c:pt idx="69">
                  <c:v>41189</c:v>
                </c:pt>
                <c:pt idx="70">
                  <c:v>41189</c:v>
                </c:pt>
                <c:pt idx="71">
                  <c:v>41189</c:v>
                </c:pt>
                <c:pt idx="72">
                  <c:v>41189</c:v>
                </c:pt>
                <c:pt idx="73">
                  <c:v>41189</c:v>
                </c:pt>
                <c:pt idx="75">
                  <c:v>41236</c:v>
                </c:pt>
                <c:pt idx="76">
                  <c:v>41236</c:v>
                </c:pt>
                <c:pt idx="77">
                  <c:v>41236</c:v>
                </c:pt>
                <c:pt idx="78">
                  <c:v>41236</c:v>
                </c:pt>
                <c:pt idx="79">
                  <c:v>41236</c:v>
                </c:pt>
                <c:pt idx="80">
                  <c:v>41236</c:v>
                </c:pt>
                <c:pt idx="81">
                  <c:v>41236</c:v>
                </c:pt>
                <c:pt idx="82">
                  <c:v>41236</c:v>
                </c:pt>
                <c:pt idx="83">
                  <c:v>41236</c:v>
                </c:pt>
                <c:pt idx="84">
                  <c:v>41236</c:v>
                </c:pt>
                <c:pt idx="85">
                  <c:v>41236</c:v>
                </c:pt>
                <c:pt idx="86">
                  <c:v>41236</c:v>
                </c:pt>
                <c:pt idx="87">
                  <c:v>41236</c:v>
                </c:pt>
                <c:pt idx="88">
                  <c:v>41236</c:v>
                </c:pt>
                <c:pt idx="90">
                  <c:v>41356</c:v>
                </c:pt>
                <c:pt idx="91">
                  <c:v>41356</c:v>
                </c:pt>
                <c:pt idx="92">
                  <c:v>41356</c:v>
                </c:pt>
                <c:pt idx="93">
                  <c:v>41356</c:v>
                </c:pt>
                <c:pt idx="94">
                  <c:v>41356</c:v>
                </c:pt>
                <c:pt idx="95">
                  <c:v>41356</c:v>
                </c:pt>
                <c:pt idx="96">
                  <c:v>41356</c:v>
                </c:pt>
                <c:pt idx="97">
                  <c:v>41356</c:v>
                </c:pt>
                <c:pt idx="98">
                  <c:v>41356</c:v>
                </c:pt>
                <c:pt idx="99">
                  <c:v>41356</c:v>
                </c:pt>
                <c:pt idx="100">
                  <c:v>41356</c:v>
                </c:pt>
                <c:pt idx="101">
                  <c:v>41356</c:v>
                </c:pt>
                <c:pt idx="102">
                  <c:v>41356</c:v>
                </c:pt>
                <c:pt idx="103">
                  <c:v>41356</c:v>
                </c:pt>
                <c:pt idx="105">
                  <c:v>41433</c:v>
                </c:pt>
                <c:pt idx="106">
                  <c:v>41433</c:v>
                </c:pt>
                <c:pt idx="107">
                  <c:v>41433</c:v>
                </c:pt>
                <c:pt idx="108">
                  <c:v>41433</c:v>
                </c:pt>
                <c:pt idx="109">
                  <c:v>41433</c:v>
                </c:pt>
                <c:pt idx="110">
                  <c:v>41433</c:v>
                </c:pt>
                <c:pt idx="111">
                  <c:v>41433</c:v>
                </c:pt>
                <c:pt idx="112">
                  <c:v>41433</c:v>
                </c:pt>
                <c:pt idx="113">
                  <c:v>41433</c:v>
                </c:pt>
                <c:pt idx="114">
                  <c:v>41433</c:v>
                </c:pt>
                <c:pt idx="115">
                  <c:v>41433</c:v>
                </c:pt>
                <c:pt idx="116">
                  <c:v>41433</c:v>
                </c:pt>
                <c:pt idx="117">
                  <c:v>41433</c:v>
                </c:pt>
                <c:pt idx="118">
                  <c:v>41433</c:v>
                </c:pt>
                <c:pt idx="120">
                  <c:v>41496</c:v>
                </c:pt>
                <c:pt idx="121">
                  <c:v>41496</c:v>
                </c:pt>
                <c:pt idx="122">
                  <c:v>41496</c:v>
                </c:pt>
                <c:pt idx="123">
                  <c:v>41496</c:v>
                </c:pt>
                <c:pt idx="124">
                  <c:v>41496</c:v>
                </c:pt>
                <c:pt idx="125">
                  <c:v>41496</c:v>
                </c:pt>
                <c:pt idx="126">
                  <c:v>41496</c:v>
                </c:pt>
                <c:pt idx="127">
                  <c:v>41496</c:v>
                </c:pt>
                <c:pt idx="128">
                  <c:v>41496</c:v>
                </c:pt>
                <c:pt idx="129">
                  <c:v>41496</c:v>
                </c:pt>
                <c:pt idx="130">
                  <c:v>41496</c:v>
                </c:pt>
                <c:pt idx="131">
                  <c:v>41496</c:v>
                </c:pt>
                <c:pt idx="132">
                  <c:v>41496</c:v>
                </c:pt>
                <c:pt idx="133">
                  <c:v>41496</c:v>
                </c:pt>
                <c:pt idx="135">
                  <c:v>41580</c:v>
                </c:pt>
                <c:pt idx="136">
                  <c:v>41580</c:v>
                </c:pt>
                <c:pt idx="137">
                  <c:v>41580</c:v>
                </c:pt>
                <c:pt idx="138">
                  <c:v>41580</c:v>
                </c:pt>
                <c:pt idx="139">
                  <c:v>41580</c:v>
                </c:pt>
                <c:pt idx="140">
                  <c:v>41580</c:v>
                </c:pt>
                <c:pt idx="141">
                  <c:v>41580</c:v>
                </c:pt>
                <c:pt idx="142">
                  <c:v>41580</c:v>
                </c:pt>
                <c:pt idx="143">
                  <c:v>41580</c:v>
                </c:pt>
                <c:pt idx="144">
                  <c:v>41580</c:v>
                </c:pt>
                <c:pt idx="145">
                  <c:v>41580</c:v>
                </c:pt>
                <c:pt idx="146">
                  <c:v>41580</c:v>
                </c:pt>
                <c:pt idx="147">
                  <c:v>41580</c:v>
                </c:pt>
                <c:pt idx="148">
                  <c:v>41580</c:v>
                </c:pt>
                <c:pt idx="150">
                  <c:v>40613</c:v>
                </c:pt>
                <c:pt idx="151">
                  <c:v>41729</c:v>
                </c:pt>
                <c:pt idx="156">
                  <c:v>40613</c:v>
                </c:pt>
                <c:pt idx="157">
                  <c:v>41729</c:v>
                </c:pt>
                <c:pt idx="158">
                  <c:v>54493</c:v>
                </c:pt>
                <c:pt idx="160">
                  <c:v>40613</c:v>
                </c:pt>
                <c:pt idx="161">
                  <c:v>41729</c:v>
                </c:pt>
                <c:pt idx="163">
                  <c:v>40613</c:v>
                </c:pt>
                <c:pt idx="164">
                  <c:v>41729</c:v>
                </c:pt>
                <c:pt idx="166">
                  <c:v>40613</c:v>
                </c:pt>
                <c:pt idx="167">
                  <c:v>41729</c:v>
                </c:pt>
                <c:pt idx="169">
                  <c:v>40613</c:v>
                </c:pt>
                <c:pt idx="170">
                  <c:v>41729</c:v>
                </c:pt>
                <c:pt idx="172">
                  <c:v>40613</c:v>
                </c:pt>
                <c:pt idx="173">
                  <c:v>41729</c:v>
                </c:pt>
                <c:pt idx="175">
                  <c:v>40613</c:v>
                </c:pt>
                <c:pt idx="176">
                  <c:v>41729</c:v>
                </c:pt>
                <c:pt idx="178">
                  <c:v>40613</c:v>
                </c:pt>
                <c:pt idx="179">
                  <c:v>41729</c:v>
                </c:pt>
                <c:pt idx="181">
                  <c:v>40613</c:v>
                </c:pt>
                <c:pt idx="182">
                  <c:v>41729</c:v>
                </c:pt>
                <c:pt idx="184">
                  <c:v>40613</c:v>
                </c:pt>
                <c:pt idx="185">
                  <c:v>41729</c:v>
                </c:pt>
                <c:pt idx="187">
                  <c:v>40613</c:v>
                </c:pt>
                <c:pt idx="188">
                  <c:v>41729</c:v>
                </c:pt>
                <c:pt idx="190">
                  <c:v>40613</c:v>
                </c:pt>
                <c:pt idx="191">
                  <c:v>41729</c:v>
                </c:pt>
                <c:pt idx="193">
                  <c:v>40613</c:v>
                </c:pt>
                <c:pt idx="194">
                  <c:v>41729</c:v>
                </c:pt>
                <c:pt idx="196">
                  <c:v>40613</c:v>
                </c:pt>
                <c:pt idx="197">
                  <c:v>41729</c:v>
                </c:pt>
                <c:pt idx="199">
                  <c:v>40613</c:v>
                </c:pt>
                <c:pt idx="200">
                  <c:v>41729</c:v>
                </c:pt>
                <c:pt idx="202">
                  <c:v>40613</c:v>
                </c:pt>
                <c:pt idx="203">
                  <c:v>41729</c:v>
                </c:pt>
                <c:pt idx="205">
                  <c:v>40613</c:v>
                </c:pt>
                <c:pt idx="206">
                  <c:v>41729</c:v>
                </c:pt>
                <c:pt idx="208">
                  <c:v>40613</c:v>
                </c:pt>
                <c:pt idx="209">
                  <c:v>41729</c:v>
                </c:pt>
                <c:pt idx="211">
                  <c:v>40613</c:v>
                </c:pt>
                <c:pt idx="212">
                  <c:v>41729</c:v>
                </c:pt>
                <c:pt idx="214">
                  <c:v>40613</c:v>
                </c:pt>
                <c:pt idx="215">
                  <c:v>41729</c:v>
                </c:pt>
                <c:pt idx="217">
                  <c:v>40613</c:v>
                </c:pt>
                <c:pt idx="218">
                  <c:v>41729</c:v>
                </c:pt>
                <c:pt idx="220">
                  <c:v>40613</c:v>
                </c:pt>
                <c:pt idx="221">
                  <c:v>41729</c:v>
                </c:pt>
                <c:pt idx="223">
                  <c:v>40613</c:v>
                </c:pt>
                <c:pt idx="224">
                  <c:v>41729</c:v>
                </c:pt>
                <c:pt idx="226">
                  <c:v>40613</c:v>
                </c:pt>
                <c:pt idx="227">
                  <c:v>41729</c:v>
                </c:pt>
                <c:pt idx="229">
                  <c:v>40613</c:v>
                </c:pt>
                <c:pt idx="230">
                  <c:v>41729</c:v>
                </c:pt>
                <c:pt idx="232">
                  <c:v>40613</c:v>
                </c:pt>
                <c:pt idx="233">
                  <c:v>41729</c:v>
                </c:pt>
                <c:pt idx="235">
                  <c:v>40613</c:v>
                </c:pt>
                <c:pt idx="236">
                  <c:v>41729</c:v>
                </c:pt>
                <c:pt idx="238">
                  <c:v>40613</c:v>
                </c:pt>
                <c:pt idx="239">
                  <c:v>41729</c:v>
                </c:pt>
                <c:pt idx="241">
                  <c:v>40613</c:v>
                </c:pt>
                <c:pt idx="242">
                  <c:v>41729</c:v>
                </c:pt>
                <c:pt idx="244">
                  <c:v>40613</c:v>
                </c:pt>
                <c:pt idx="245">
                  <c:v>41729</c:v>
                </c:pt>
                <c:pt idx="247">
                  <c:v>40613</c:v>
                </c:pt>
                <c:pt idx="248">
                  <c:v>41729</c:v>
                </c:pt>
                <c:pt idx="250">
                  <c:v>40613</c:v>
                </c:pt>
                <c:pt idx="251">
                  <c:v>41729</c:v>
                </c:pt>
                <c:pt idx="253">
                  <c:v>40613</c:v>
                </c:pt>
                <c:pt idx="254">
                  <c:v>41729</c:v>
                </c:pt>
                <c:pt idx="256">
                  <c:v>40613</c:v>
                </c:pt>
                <c:pt idx="257">
                  <c:v>41729</c:v>
                </c:pt>
                <c:pt idx="259">
                  <c:v>40613</c:v>
                </c:pt>
                <c:pt idx="260">
                  <c:v>41729</c:v>
                </c:pt>
                <c:pt idx="262">
                  <c:v>40613</c:v>
                </c:pt>
                <c:pt idx="263">
                  <c:v>41729</c:v>
                </c:pt>
                <c:pt idx="265">
                  <c:v>40613</c:v>
                </c:pt>
                <c:pt idx="266">
                  <c:v>41729</c:v>
                </c:pt>
                <c:pt idx="268">
                  <c:v>40613</c:v>
                </c:pt>
                <c:pt idx="269">
                  <c:v>41729</c:v>
                </c:pt>
                <c:pt idx="271">
                  <c:v>40613</c:v>
                </c:pt>
                <c:pt idx="272">
                  <c:v>41729</c:v>
                </c:pt>
                <c:pt idx="274">
                  <c:v>40613</c:v>
                </c:pt>
                <c:pt idx="275">
                  <c:v>41729</c:v>
                </c:pt>
                <c:pt idx="277">
                  <c:v>40613</c:v>
                </c:pt>
                <c:pt idx="278">
                  <c:v>41729</c:v>
                </c:pt>
                <c:pt idx="280">
                  <c:v>40613</c:v>
                </c:pt>
                <c:pt idx="281">
                  <c:v>41729</c:v>
                </c:pt>
              </c:numCache>
            </c:numRef>
          </c:xVal>
          <c:yVal>
            <c:numRef>
              <c:f>Graph_Data!$F$11:$F$292</c:f>
              <c:numCache>
                <c:ptCount val="282"/>
                <c:pt idx="0">
                  <c:v>1.2594478720914102</c:v>
                </c:pt>
                <c:pt idx="15">
                  <c:v>1.2641606028679384</c:v>
                </c:pt>
                <c:pt idx="30">
                  <c:v>1.1937108212438337</c:v>
                </c:pt>
                <c:pt idx="45">
                  <c:v>1.126257859382997</c:v>
                </c:pt>
                <c:pt idx="60">
                  <c:v>1.1767951692190657</c:v>
                </c:pt>
                <c:pt idx="75">
                  <c:v>1.1924435178521835</c:v>
                </c:pt>
                <c:pt idx="90">
                  <c:v>1.134495898667941</c:v>
                </c:pt>
                <c:pt idx="105">
                  <c:v>1.1526719327717612</c:v>
                </c:pt>
                <c:pt idx="120">
                  <c:v>1.1096245583125683</c:v>
                </c:pt>
                <c:pt idx="135">
                  <c:v>1.0816779380262818</c:v>
                </c:pt>
              </c:numCache>
            </c:numRef>
          </c:yVal>
          <c:smooth val="0"/>
        </c:ser>
        <c:ser>
          <c:idx val="6"/>
          <c:order val="1"/>
          <c:tx>
            <c:strRef>
              <c:f>Graph_Data!$I$9</c:f>
              <c:strCache>
                <c:ptCount val="1"/>
                <c:pt idx="0">
                  <c:v>補助目盛</c:v>
                </c:pt>
              </c:strCache>
            </c:strRef>
          </c:tx>
          <c:spPr>
            <a:ln w="3175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Graph_Data!$D$11:$D$292</c:f>
              <c:numCache>
                <c:ptCount val="282"/>
                <c:pt idx="0">
                  <c:v>40758</c:v>
                </c:pt>
                <c:pt idx="1">
                  <c:v>40758</c:v>
                </c:pt>
                <c:pt idx="2">
                  <c:v>40758</c:v>
                </c:pt>
                <c:pt idx="3">
                  <c:v>40758</c:v>
                </c:pt>
                <c:pt idx="4">
                  <c:v>40758</c:v>
                </c:pt>
                <c:pt idx="5">
                  <c:v>40758</c:v>
                </c:pt>
                <c:pt idx="6">
                  <c:v>40758</c:v>
                </c:pt>
                <c:pt idx="7">
                  <c:v>40758</c:v>
                </c:pt>
                <c:pt idx="8">
                  <c:v>40758</c:v>
                </c:pt>
                <c:pt idx="9">
                  <c:v>40758</c:v>
                </c:pt>
                <c:pt idx="10">
                  <c:v>40758</c:v>
                </c:pt>
                <c:pt idx="11">
                  <c:v>40758</c:v>
                </c:pt>
                <c:pt idx="12">
                  <c:v>40758</c:v>
                </c:pt>
                <c:pt idx="13">
                  <c:v>40758</c:v>
                </c:pt>
                <c:pt idx="15">
                  <c:v>40873</c:v>
                </c:pt>
                <c:pt idx="16">
                  <c:v>40873</c:v>
                </c:pt>
                <c:pt idx="17">
                  <c:v>40873</c:v>
                </c:pt>
                <c:pt idx="18">
                  <c:v>40873</c:v>
                </c:pt>
                <c:pt idx="19">
                  <c:v>40873</c:v>
                </c:pt>
                <c:pt idx="20">
                  <c:v>40873</c:v>
                </c:pt>
                <c:pt idx="21">
                  <c:v>40873</c:v>
                </c:pt>
                <c:pt idx="22">
                  <c:v>40873</c:v>
                </c:pt>
                <c:pt idx="23">
                  <c:v>40873</c:v>
                </c:pt>
                <c:pt idx="24">
                  <c:v>40873</c:v>
                </c:pt>
                <c:pt idx="25">
                  <c:v>40873</c:v>
                </c:pt>
                <c:pt idx="26">
                  <c:v>40873</c:v>
                </c:pt>
                <c:pt idx="27">
                  <c:v>40873</c:v>
                </c:pt>
                <c:pt idx="28">
                  <c:v>40873</c:v>
                </c:pt>
                <c:pt idx="30">
                  <c:v>40986</c:v>
                </c:pt>
                <c:pt idx="31">
                  <c:v>40986</c:v>
                </c:pt>
                <c:pt idx="32">
                  <c:v>40986</c:v>
                </c:pt>
                <c:pt idx="33">
                  <c:v>40986</c:v>
                </c:pt>
                <c:pt idx="34">
                  <c:v>40986</c:v>
                </c:pt>
                <c:pt idx="35">
                  <c:v>40986</c:v>
                </c:pt>
                <c:pt idx="36">
                  <c:v>40986</c:v>
                </c:pt>
                <c:pt idx="37">
                  <c:v>40986</c:v>
                </c:pt>
                <c:pt idx="38">
                  <c:v>40986</c:v>
                </c:pt>
                <c:pt idx="39">
                  <c:v>40986</c:v>
                </c:pt>
                <c:pt idx="40">
                  <c:v>40986</c:v>
                </c:pt>
                <c:pt idx="41">
                  <c:v>40986</c:v>
                </c:pt>
                <c:pt idx="42">
                  <c:v>40986</c:v>
                </c:pt>
                <c:pt idx="43">
                  <c:v>40986</c:v>
                </c:pt>
                <c:pt idx="45">
                  <c:v>41055</c:v>
                </c:pt>
                <c:pt idx="46">
                  <c:v>41055</c:v>
                </c:pt>
                <c:pt idx="47">
                  <c:v>41055</c:v>
                </c:pt>
                <c:pt idx="48">
                  <c:v>41055</c:v>
                </c:pt>
                <c:pt idx="49">
                  <c:v>41055</c:v>
                </c:pt>
                <c:pt idx="50">
                  <c:v>41055</c:v>
                </c:pt>
                <c:pt idx="51">
                  <c:v>41055</c:v>
                </c:pt>
                <c:pt idx="52">
                  <c:v>41055</c:v>
                </c:pt>
                <c:pt idx="53">
                  <c:v>41055</c:v>
                </c:pt>
                <c:pt idx="54">
                  <c:v>41055</c:v>
                </c:pt>
                <c:pt idx="55">
                  <c:v>41055</c:v>
                </c:pt>
                <c:pt idx="56">
                  <c:v>41055</c:v>
                </c:pt>
                <c:pt idx="57">
                  <c:v>41055</c:v>
                </c:pt>
                <c:pt idx="58">
                  <c:v>41055</c:v>
                </c:pt>
                <c:pt idx="60">
                  <c:v>41189</c:v>
                </c:pt>
                <c:pt idx="61">
                  <c:v>41189</c:v>
                </c:pt>
                <c:pt idx="62">
                  <c:v>41189</c:v>
                </c:pt>
                <c:pt idx="63">
                  <c:v>41189</c:v>
                </c:pt>
                <c:pt idx="64">
                  <c:v>41189</c:v>
                </c:pt>
                <c:pt idx="65">
                  <c:v>41189</c:v>
                </c:pt>
                <c:pt idx="66">
                  <c:v>41189</c:v>
                </c:pt>
                <c:pt idx="67">
                  <c:v>41189</c:v>
                </c:pt>
                <c:pt idx="68">
                  <c:v>41189</c:v>
                </c:pt>
                <c:pt idx="69">
                  <c:v>41189</c:v>
                </c:pt>
                <c:pt idx="70">
                  <c:v>41189</c:v>
                </c:pt>
                <c:pt idx="71">
                  <c:v>41189</c:v>
                </c:pt>
                <c:pt idx="72">
                  <c:v>41189</c:v>
                </c:pt>
                <c:pt idx="73">
                  <c:v>41189</c:v>
                </c:pt>
                <c:pt idx="75">
                  <c:v>41236</c:v>
                </c:pt>
                <c:pt idx="76">
                  <c:v>41236</c:v>
                </c:pt>
                <c:pt idx="77">
                  <c:v>41236</c:v>
                </c:pt>
                <c:pt idx="78">
                  <c:v>41236</c:v>
                </c:pt>
                <c:pt idx="79">
                  <c:v>41236</c:v>
                </c:pt>
                <c:pt idx="80">
                  <c:v>41236</c:v>
                </c:pt>
                <c:pt idx="81">
                  <c:v>41236</c:v>
                </c:pt>
                <c:pt idx="82">
                  <c:v>41236</c:v>
                </c:pt>
                <c:pt idx="83">
                  <c:v>41236</c:v>
                </c:pt>
                <c:pt idx="84">
                  <c:v>41236</c:v>
                </c:pt>
                <c:pt idx="85">
                  <c:v>41236</c:v>
                </c:pt>
                <c:pt idx="86">
                  <c:v>41236</c:v>
                </c:pt>
                <c:pt idx="87">
                  <c:v>41236</c:v>
                </c:pt>
                <c:pt idx="88">
                  <c:v>41236</c:v>
                </c:pt>
                <c:pt idx="90">
                  <c:v>41356</c:v>
                </c:pt>
                <c:pt idx="91">
                  <c:v>41356</c:v>
                </c:pt>
                <c:pt idx="92">
                  <c:v>41356</c:v>
                </c:pt>
                <c:pt idx="93">
                  <c:v>41356</c:v>
                </c:pt>
                <c:pt idx="94">
                  <c:v>41356</c:v>
                </c:pt>
                <c:pt idx="95">
                  <c:v>41356</c:v>
                </c:pt>
                <c:pt idx="96">
                  <c:v>41356</c:v>
                </c:pt>
                <c:pt idx="97">
                  <c:v>41356</c:v>
                </c:pt>
                <c:pt idx="98">
                  <c:v>41356</c:v>
                </c:pt>
                <c:pt idx="99">
                  <c:v>41356</c:v>
                </c:pt>
                <c:pt idx="100">
                  <c:v>41356</c:v>
                </c:pt>
                <c:pt idx="101">
                  <c:v>41356</c:v>
                </c:pt>
                <c:pt idx="102">
                  <c:v>41356</c:v>
                </c:pt>
                <c:pt idx="103">
                  <c:v>41356</c:v>
                </c:pt>
                <c:pt idx="105">
                  <c:v>41433</c:v>
                </c:pt>
                <c:pt idx="106">
                  <c:v>41433</c:v>
                </c:pt>
                <c:pt idx="107">
                  <c:v>41433</c:v>
                </c:pt>
                <c:pt idx="108">
                  <c:v>41433</c:v>
                </c:pt>
                <c:pt idx="109">
                  <c:v>41433</c:v>
                </c:pt>
                <c:pt idx="110">
                  <c:v>41433</c:v>
                </c:pt>
                <c:pt idx="111">
                  <c:v>41433</c:v>
                </c:pt>
                <c:pt idx="112">
                  <c:v>41433</c:v>
                </c:pt>
                <c:pt idx="113">
                  <c:v>41433</c:v>
                </c:pt>
                <c:pt idx="114">
                  <c:v>41433</c:v>
                </c:pt>
                <c:pt idx="115">
                  <c:v>41433</c:v>
                </c:pt>
                <c:pt idx="116">
                  <c:v>41433</c:v>
                </c:pt>
                <c:pt idx="117">
                  <c:v>41433</c:v>
                </c:pt>
                <c:pt idx="118">
                  <c:v>41433</c:v>
                </c:pt>
                <c:pt idx="120">
                  <c:v>41496</c:v>
                </c:pt>
                <c:pt idx="121">
                  <c:v>41496</c:v>
                </c:pt>
                <c:pt idx="122">
                  <c:v>41496</c:v>
                </c:pt>
                <c:pt idx="123">
                  <c:v>41496</c:v>
                </c:pt>
                <c:pt idx="124">
                  <c:v>41496</c:v>
                </c:pt>
                <c:pt idx="125">
                  <c:v>41496</c:v>
                </c:pt>
                <c:pt idx="126">
                  <c:v>41496</c:v>
                </c:pt>
                <c:pt idx="127">
                  <c:v>41496</c:v>
                </c:pt>
                <c:pt idx="128">
                  <c:v>41496</c:v>
                </c:pt>
                <c:pt idx="129">
                  <c:v>41496</c:v>
                </c:pt>
                <c:pt idx="130">
                  <c:v>41496</c:v>
                </c:pt>
                <c:pt idx="131">
                  <c:v>41496</c:v>
                </c:pt>
                <c:pt idx="132">
                  <c:v>41496</c:v>
                </c:pt>
                <c:pt idx="133">
                  <c:v>41496</c:v>
                </c:pt>
                <c:pt idx="135">
                  <c:v>41580</c:v>
                </c:pt>
                <c:pt idx="136">
                  <c:v>41580</c:v>
                </c:pt>
                <c:pt idx="137">
                  <c:v>41580</c:v>
                </c:pt>
                <c:pt idx="138">
                  <c:v>41580</c:v>
                </c:pt>
                <c:pt idx="139">
                  <c:v>41580</c:v>
                </c:pt>
                <c:pt idx="140">
                  <c:v>41580</c:v>
                </c:pt>
                <c:pt idx="141">
                  <c:v>41580</c:v>
                </c:pt>
                <c:pt idx="142">
                  <c:v>41580</c:v>
                </c:pt>
                <c:pt idx="143">
                  <c:v>41580</c:v>
                </c:pt>
                <c:pt idx="144">
                  <c:v>41580</c:v>
                </c:pt>
                <c:pt idx="145">
                  <c:v>41580</c:v>
                </c:pt>
                <c:pt idx="146">
                  <c:v>41580</c:v>
                </c:pt>
                <c:pt idx="147">
                  <c:v>41580</c:v>
                </c:pt>
                <c:pt idx="148">
                  <c:v>41580</c:v>
                </c:pt>
                <c:pt idx="150">
                  <c:v>40613</c:v>
                </c:pt>
                <c:pt idx="151">
                  <c:v>41729</c:v>
                </c:pt>
                <c:pt idx="156">
                  <c:v>40613</c:v>
                </c:pt>
                <c:pt idx="157">
                  <c:v>41729</c:v>
                </c:pt>
                <c:pt idx="158">
                  <c:v>54493</c:v>
                </c:pt>
                <c:pt idx="160">
                  <c:v>40613</c:v>
                </c:pt>
                <c:pt idx="161">
                  <c:v>41729</c:v>
                </c:pt>
                <c:pt idx="163">
                  <c:v>40613</c:v>
                </c:pt>
                <c:pt idx="164">
                  <c:v>41729</c:v>
                </c:pt>
                <c:pt idx="166">
                  <c:v>40613</c:v>
                </c:pt>
                <c:pt idx="167">
                  <c:v>41729</c:v>
                </c:pt>
                <c:pt idx="169">
                  <c:v>40613</c:v>
                </c:pt>
                <c:pt idx="170">
                  <c:v>41729</c:v>
                </c:pt>
                <c:pt idx="172">
                  <c:v>40613</c:v>
                </c:pt>
                <c:pt idx="173">
                  <c:v>41729</c:v>
                </c:pt>
                <c:pt idx="175">
                  <c:v>40613</c:v>
                </c:pt>
                <c:pt idx="176">
                  <c:v>41729</c:v>
                </c:pt>
                <c:pt idx="178">
                  <c:v>40613</c:v>
                </c:pt>
                <c:pt idx="179">
                  <c:v>41729</c:v>
                </c:pt>
                <c:pt idx="181">
                  <c:v>40613</c:v>
                </c:pt>
                <c:pt idx="182">
                  <c:v>41729</c:v>
                </c:pt>
                <c:pt idx="184">
                  <c:v>40613</c:v>
                </c:pt>
                <c:pt idx="185">
                  <c:v>41729</c:v>
                </c:pt>
                <c:pt idx="187">
                  <c:v>40613</c:v>
                </c:pt>
                <c:pt idx="188">
                  <c:v>41729</c:v>
                </c:pt>
                <c:pt idx="190">
                  <c:v>40613</c:v>
                </c:pt>
                <c:pt idx="191">
                  <c:v>41729</c:v>
                </c:pt>
                <c:pt idx="193">
                  <c:v>40613</c:v>
                </c:pt>
                <c:pt idx="194">
                  <c:v>41729</c:v>
                </c:pt>
                <c:pt idx="196">
                  <c:v>40613</c:v>
                </c:pt>
                <c:pt idx="197">
                  <c:v>41729</c:v>
                </c:pt>
                <c:pt idx="199">
                  <c:v>40613</c:v>
                </c:pt>
                <c:pt idx="200">
                  <c:v>41729</c:v>
                </c:pt>
                <c:pt idx="202">
                  <c:v>40613</c:v>
                </c:pt>
                <c:pt idx="203">
                  <c:v>41729</c:v>
                </c:pt>
                <c:pt idx="205">
                  <c:v>40613</c:v>
                </c:pt>
                <c:pt idx="206">
                  <c:v>41729</c:v>
                </c:pt>
                <c:pt idx="208">
                  <c:v>40613</c:v>
                </c:pt>
                <c:pt idx="209">
                  <c:v>41729</c:v>
                </c:pt>
                <c:pt idx="211">
                  <c:v>40613</c:v>
                </c:pt>
                <c:pt idx="212">
                  <c:v>41729</c:v>
                </c:pt>
                <c:pt idx="214">
                  <c:v>40613</c:v>
                </c:pt>
                <c:pt idx="215">
                  <c:v>41729</c:v>
                </c:pt>
                <c:pt idx="217">
                  <c:v>40613</c:v>
                </c:pt>
                <c:pt idx="218">
                  <c:v>41729</c:v>
                </c:pt>
                <c:pt idx="220">
                  <c:v>40613</c:v>
                </c:pt>
                <c:pt idx="221">
                  <c:v>41729</c:v>
                </c:pt>
                <c:pt idx="223">
                  <c:v>40613</c:v>
                </c:pt>
                <c:pt idx="224">
                  <c:v>41729</c:v>
                </c:pt>
                <c:pt idx="226">
                  <c:v>40613</c:v>
                </c:pt>
                <c:pt idx="227">
                  <c:v>41729</c:v>
                </c:pt>
                <c:pt idx="229">
                  <c:v>40613</c:v>
                </c:pt>
                <c:pt idx="230">
                  <c:v>41729</c:v>
                </c:pt>
                <c:pt idx="232">
                  <c:v>40613</c:v>
                </c:pt>
                <c:pt idx="233">
                  <c:v>41729</c:v>
                </c:pt>
                <c:pt idx="235">
                  <c:v>40613</c:v>
                </c:pt>
                <c:pt idx="236">
                  <c:v>41729</c:v>
                </c:pt>
                <c:pt idx="238">
                  <c:v>40613</c:v>
                </c:pt>
                <c:pt idx="239">
                  <c:v>41729</c:v>
                </c:pt>
                <c:pt idx="241">
                  <c:v>40613</c:v>
                </c:pt>
                <c:pt idx="242">
                  <c:v>41729</c:v>
                </c:pt>
                <c:pt idx="244">
                  <c:v>40613</c:v>
                </c:pt>
                <c:pt idx="245">
                  <c:v>41729</c:v>
                </c:pt>
                <c:pt idx="247">
                  <c:v>40613</c:v>
                </c:pt>
                <c:pt idx="248">
                  <c:v>41729</c:v>
                </c:pt>
                <c:pt idx="250">
                  <c:v>40613</c:v>
                </c:pt>
                <c:pt idx="251">
                  <c:v>41729</c:v>
                </c:pt>
                <c:pt idx="253">
                  <c:v>40613</c:v>
                </c:pt>
                <c:pt idx="254">
                  <c:v>41729</c:v>
                </c:pt>
                <c:pt idx="256">
                  <c:v>40613</c:v>
                </c:pt>
                <c:pt idx="257">
                  <c:v>41729</c:v>
                </c:pt>
                <c:pt idx="259">
                  <c:v>40613</c:v>
                </c:pt>
                <c:pt idx="260">
                  <c:v>41729</c:v>
                </c:pt>
                <c:pt idx="262">
                  <c:v>40613</c:v>
                </c:pt>
                <c:pt idx="263">
                  <c:v>41729</c:v>
                </c:pt>
                <c:pt idx="265">
                  <c:v>40613</c:v>
                </c:pt>
                <c:pt idx="266">
                  <c:v>41729</c:v>
                </c:pt>
                <c:pt idx="268">
                  <c:v>40613</c:v>
                </c:pt>
                <c:pt idx="269">
                  <c:v>41729</c:v>
                </c:pt>
                <c:pt idx="271">
                  <c:v>40613</c:v>
                </c:pt>
                <c:pt idx="272">
                  <c:v>41729</c:v>
                </c:pt>
                <c:pt idx="274">
                  <c:v>40613</c:v>
                </c:pt>
                <c:pt idx="275">
                  <c:v>41729</c:v>
                </c:pt>
                <c:pt idx="277">
                  <c:v>40613</c:v>
                </c:pt>
                <c:pt idx="278">
                  <c:v>41729</c:v>
                </c:pt>
                <c:pt idx="280">
                  <c:v>40613</c:v>
                </c:pt>
                <c:pt idx="281">
                  <c:v>41729</c:v>
                </c:pt>
              </c:numCache>
            </c:numRef>
          </c:xVal>
          <c:yVal>
            <c:numRef>
              <c:f>Graph_Data!$I$11:$I$292</c:f>
              <c:numCache>
                <c:ptCount val="282"/>
                <c:pt idx="166">
                  <c:v>-1.6989700043360187</c:v>
                </c:pt>
                <c:pt idx="167">
                  <c:v>-1.6989700043360187</c:v>
                </c:pt>
                <c:pt idx="169">
                  <c:v>-1.5228787452803376</c:v>
                </c:pt>
                <c:pt idx="170">
                  <c:v>-1.5228787452803376</c:v>
                </c:pt>
                <c:pt idx="172">
                  <c:v>-1.3979400086720375</c:v>
                </c:pt>
                <c:pt idx="173">
                  <c:v>-1.3979400086720375</c:v>
                </c:pt>
                <c:pt idx="178">
                  <c:v>-1.2218487496163564</c:v>
                </c:pt>
                <c:pt idx="179">
                  <c:v>-1.2218487496163564</c:v>
                </c:pt>
                <c:pt idx="181">
                  <c:v>-1.154901959985743</c:v>
                </c:pt>
                <c:pt idx="182">
                  <c:v>-1.154901959985743</c:v>
                </c:pt>
                <c:pt idx="184">
                  <c:v>-1.0969100130080565</c:v>
                </c:pt>
                <c:pt idx="185">
                  <c:v>-1.0969100130080565</c:v>
                </c:pt>
                <c:pt idx="187">
                  <c:v>-1.0457574905606752</c:v>
                </c:pt>
                <c:pt idx="188">
                  <c:v>-1.0457574905606752</c:v>
                </c:pt>
                <c:pt idx="196">
                  <c:v>-0.6989700043360187</c:v>
                </c:pt>
                <c:pt idx="197">
                  <c:v>-0.6989700043360187</c:v>
                </c:pt>
                <c:pt idx="199">
                  <c:v>-0.5228787452803376</c:v>
                </c:pt>
                <c:pt idx="200">
                  <c:v>-0.5228787452803376</c:v>
                </c:pt>
                <c:pt idx="202">
                  <c:v>-0.3979400086720376</c:v>
                </c:pt>
                <c:pt idx="203">
                  <c:v>-0.3979400086720376</c:v>
                </c:pt>
                <c:pt idx="208">
                  <c:v>-0.2218487496163563</c:v>
                </c:pt>
                <c:pt idx="209">
                  <c:v>-0.2218487496163563</c:v>
                </c:pt>
                <c:pt idx="211">
                  <c:v>-0.15490195998574313</c:v>
                </c:pt>
                <c:pt idx="212">
                  <c:v>-0.15490195998574313</c:v>
                </c:pt>
                <c:pt idx="214">
                  <c:v>-0.09691001300805639</c:v>
                </c:pt>
                <c:pt idx="215">
                  <c:v>-0.09691001300805639</c:v>
                </c:pt>
                <c:pt idx="217">
                  <c:v>-0.04575749056067517</c:v>
                </c:pt>
                <c:pt idx="218">
                  <c:v>-0.04575749056067517</c:v>
                </c:pt>
                <c:pt idx="226">
                  <c:v>0.3010299956639812</c:v>
                </c:pt>
                <c:pt idx="227">
                  <c:v>0.3010299956639812</c:v>
                </c:pt>
                <c:pt idx="229">
                  <c:v>0.47712125471966244</c:v>
                </c:pt>
                <c:pt idx="230">
                  <c:v>0.47712125471966244</c:v>
                </c:pt>
                <c:pt idx="232">
                  <c:v>0.6020599913279624</c:v>
                </c:pt>
                <c:pt idx="233">
                  <c:v>0.6020599913279624</c:v>
                </c:pt>
                <c:pt idx="238">
                  <c:v>0.7781512503836437</c:v>
                </c:pt>
                <c:pt idx="239">
                  <c:v>0.7781512503836437</c:v>
                </c:pt>
                <c:pt idx="241">
                  <c:v>0.8450980400142569</c:v>
                </c:pt>
                <c:pt idx="242">
                  <c:v>0.8450980400142569</c:v>
                </c:pt>
                <c:pt idx="244">
                  <c:v>0.9030899869919435</c:v>
                </c:pt>
                <c:pt idx="245">
                  <c:v>0.9030899869919435</c:v>
                </c:pt>
                <c:pt idx="247">
                  <c:v>0.9542425094393249</c:v>
                </c:pt>
                <c:pt idx="248">
                  <c:v>0.9542425094393249</c:v>
                </c:pt>
                <c:pt idx="256">
                  <c:v>1.3010299956639813</c:v>
                </c:pt>
                <c:pt idx="257">
                  <c:v>1.3010299956639813</c:v>
                </c:pt>
                <c:pt idx="259">
                  <c:v>1.4771212547196624</c:v>
                </c:pt>
                <c:pt idx="260">
                  <c:v>1.4771212547196624</c:v>
                </c:pt>
                <c:pt idx="262">
                  <c:v>1.6020599913279623</c:v>
                </c:pt>
                <c:pt idx="263">
                  <c:v>1.6020599913279623</c:v>
                </c:pt>
                <c:pt idx="268">
                  <c:v>1.7781512503836436</c:v>
                </c:pt>
                <c:pt idx="269">
                  <c:v>1.7781512503836436</c:v>
                </c:pt>
                <c:pt idx="271">
                  <c:v>1.845098040014257</c:v>
                </c:pt>
                <c:pt idx="272">
                  <c:v>1.845098040014257</c:v>
                </c:pt>
                <c:pt idx="274">
                  <c:v>1.9030899869919435</c:v>
                </c:pt>
                <c:pt idx="275">
                  <c:v>1.9030899869919435</c:v>
                </c:pt>
                <c:pt idx="277">
                  <c:v>1.954242509439325</c:v>
                </c:pt>
                <c:pt idx="278">
                  <c:v>1.954242509439325</c:v>
                </c:pt>
              </c:numCache>
            </c:numRef>
          </c:yVal>
          <c:smooth val="0"/>
        </c:ser>
        <c:ser>
          <c:idx val="7"/>
          <c:order val="2"/>
          <c:tx>
            <c:strRef>
              <c:f>Graph_Data!$J$9</c:f>
              <c:strCache>
                <c:ptCount val="1"/>
                <c:pt idx="0">
                  <c:v>目盛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Graph_Data!$D$11:$D$292</c:f>
              <c:numCache>
                <c:ptCount val="282"/>
                <c:pt idx="0">
                  <c:v>40758</c:v>
                </c:pt>
                <c:pt idx="1">
                  <c:v>40758</c:v>
                </c:pt>
                <c:pt idx="2">
                  <c:v>40758</c:v>
                </c:pt>
                <c:pt idx="3">
                  <c:v>40758</c:v>
                </c:pt>
                <c:pt idx="4">
                  <c:v>40758</c:v>
                </c:pt>
                <c:pt idx="5">
                  <c:v>40758</c:v>
                </c:pt>
                <c:pt idx="6">
                  <c:v>40758</c:v>
                </c:pt>
                <c:pt idx="7">
                  <c:v>40758</c:v>
                </c:pt>
                <c:pt idx="8">
                  <c:v>40758</c:v>
                </c:pt>
                <c:pt idx="9">
                  <c:v>40758</c:v>
                </c:pt>
                <c:pt idx="10">
                  <c:v>40758</c:v>
                </c:pt>
                <c:pt idx="11">
                  <c:v>40758</c:v>
                </c:pt>
                <c:pt idx="12">
                  <c:v>40758</c:v>
                </c:pt>
                <c:pt idx="13">
                  <c:v>40758</c:v>
                </c:pt>
                <c:pt idx="15">
                  <c:v>40873</c:v>
                </c:pt>
                <c:pt idx="16">
                  <c:v>40873</c:v>
                </c:pt>
                <c:pt idx="17">
                  <c:v>40873</c:v>
                </c:pt>
                <c:pt idx="18">
                  <c:v>40873</c:v>
                </c:pt>
                <c:pt idx="19">
                  <c:v>40873</c:v>
                </c:pt>
                <c:pt idx="20">
                  <c:v>40873</c:v>
                </c:pt>
                <c:pt idx="21">
                  <c:v>40873</c:v>
                </c:pt>
                <c:pt idx="22">
                  <c:v>40873</c:v>
                </c:pt>
                <c:pt idx="23">
                  <c:v>40873</c:v>
                </c:pt>
                <c:pt idx="24">
                  <c:v>40873</c:v>
                </c:pt>
                <c:pt idx="25">
                  <c:v>40873</c:v>
                </c:pt>
                <c:pt idx="26">
                  <c:v>40873</c:v>
                </c:pt>
                <c:pt idx="27">
                  <c:v>40873</c:v>
                </c:pt>
                <c:pt idx="28">
                  <c:v>40873</c:v>
                </c:pt>
                <c:pt idx="30">
                  <c:v>40986</c:v>
                </c:pt>
                <c:pt idx="31">
                  <c:v>40986</c:v>
                </c:pt>
                <c:pt idx="32">
                  <c:v>40986</c:v>
                </c:pt>
                <c:pt idx="33">
                  <c:v>40986</c:v>
                </c:pt>
                <c:pt idx="34">
                  <c:v>40986</c:v>
                </c:pt>
                <c:pt idx="35">
                  <c:v>40986</c:v>
                </c:pt>
                <c:pt idx="36">
                  <c:v>40986</c:v>
                </c:pt>
                <c:pt idx="37">
                  <c:v>40986</c:v>
                </c:pt>
                <c:pt idx="38">
                  <c:v>40986</c:v>
                </c:pt>
                <c:pt idx="39">
                  <c:v>40986</c:v>
                </c:pt>
                <c:pt idx="40">
                  <c:v>40986</c:v>
                </c:pt>
                <c:pt idx="41">
                  <c:v>40986</c:v>
                </c:pt>
                <c:pt idx="42">
                  <c:v>40986</c:v>
                </c:pt>
                <c:pt idx="43">
                  <c:v>40986</c:v>
                </c:pt>
                <c:pt idx="45">
                  <c:v>41055</c:v>
                </c:pt>
                <c:pt idx="46">
                  <c:v>41055</c:v>
                </c:pt>
                <c:pt idx="47">
                  <c:v>41055</c:v>
                </c:pt>
                <c:pt idx="48">
                  <c:v>41055</c:v>
                </c:pt>
                <c:pt idx="49">
                  <c:v>41055</c:v>
                </c:pt>
                <c:pt idx="50">
                  <c:v>41055</c:v>
                </c:pt>
                <c:pt idx="51">
                  <c:v>41055</c:v>
                </c:pt>
                <c:pt idx="52">
                  <c:v>41055</c:v>
                </c:pt>
                <c:pt idx="53">
                  <c:v>41055</c:v>
                </c:pt>
                <c:pt idx="54">
                  <c:v>41055</c:v>
                </c:pt>
                <c:pt idx="55">
                  <c:v>41055</c:v>
                </c:pt>
                <c:pt idx="56">
                  <c:v>41055</c:v>
                </c:pt>
                <c:pt idx="57">
                  <c:v>41055</c:v>
                </c:pt>
                <c:pt idx="58">
                  <c:v>41055</c:v>
                </c:pt>
                <c:pt idx="60">
                  <c:v>41189</c:v>
                </c:pt>
                <c:pt idx="61">
                  <c:v>41189</c:v>
                </c:pt>
                <c:pt idx="62">
                  <c:v>41189</c:v>
                </c:pt>
                <c:pt idx="63">
                  <c:v>41189</c:v>
                </c:pt>
                <c:pt idx="64">
                  <c:v>41189</c:v>
                </c:pt>
                <c:pt idx="65">
                  <c:v>41189</c:v>
                </c:pt>
                <c:pt idx="66">
                  <c:v>41189</c:v>
                </c:pt>
                <c:pt idx="67">
                  <c:v>41189</c:v>
                </c:pt>
                <c:pt idx="68">
                  <c:v>41189</c:v>
                </c:pt>
                <c:pt idx="69">
                  <c:v>41189</c:v>
                </c:pt>
                <c:pt idx="70">
                  <c:v>41189</c:v>
                </c:pt>
                <c:pt idx="71">
                  <c:v>41189</c:v>
                </c:pt>
                <c:pt idx="72">
                  <c:v>41189</c:v>
                </c:pt>
                <c:pt idx="73">
                  <c:v>41189</c:v>
                </c:pt>
                <c:pt idx="75">
                  <c:v>41236</c:v>
                </c:pt>
                <c:pt idx="76">
                  <c:v>41236</c:v>
                </c:pt>
                <c:pt idx="77">
                  <c:v>41236</c:v>
                </c:pt>
                <c:pt idx="78">
                  <c:v>41236</c:v>
                </c:pt>
                <c:pt idx="79">
                  <c:v>41236</c:v>
                </c:pt>
                <c:pt idx="80">
                  <c:v>41236</c:v>
                </c:pt>
                <c:pt idx="81">
                  <c:v>41236</c:v>
                </c:pt>
                <c:pt idx="82">
                  <c:v>41236</c:v>
                </c:pt>
                <c:pt idx="83">
                  <c:v>41236</c:v>
                </c:pt>
                <c:pt idx="84">
                  <c:v>41236</c:v>
                </c:pt>
                <c:pt idx="85">
                  <c:v>41236</c:v>
                </c:pt>
                <c:pt idx="86">
                  <c:v>41236</c:v>
                </c:pt>
                <c:pt idx="87">
                  <c:v>41236</c:v>
                </c:pt>
                <c:pt idx="88">
                  <c:v>41236</c:v>
                </c:pt>
                <c:pt idx="90">
                  <c:v>41356</c:v>
                </c:pt>
                <c:pt idx="91">
                  <c:v>41356</c:v>
                </c:pt>
                <c:pt idx="92">
                  <c:v>41356</c:v>
                </c:pt>
                <c:pt idx="93">
                  <c:v>41356</c:v>
                </c:pt>
                <c:pt idx="94">
                  <c:v>41356</c:v>
                </c:pt>
                <c:pt idx="95">
                  <c:v>41356</c:v>
                </c:pt>
                <c:pt idx="96">
                  <c:v>41356</c:v>
                </c:pt>
                <c:pt idx="97">
                  <c:v>41356</c:v>
                </c:pt>
                <c:pt idx="98">
                  <c:v>41356</c:v>
                </c:pt>
                <c:pt idx="99">
                  <c:v>41356</c:v>
                </c:pt>
                <c:pt idx="100">
                  <c:v>41356</c:v>
                </c:pt>
                <c:pt idx="101">
                  <c:v>41356</c:v>
                </c:pt>
                <c:pt idx="102">
                  <c:v>41356</c:v>
                </c:pt>
                <c:pt idx="103">
                  <c:v>41356</c:v>
                </c:pt>
                <c:pt idx="105">
                  <c:v>41433</c:v>
                </c:pt>
                <c:pt idx="106">
                  <c:v>41433</c:v>
                </c:pt>
                <c:pt idx="107">
                  <c:v>41433</c:v>
                </c:pt>
                <c:pt idx="108">
                  <c:v>41433</c:v>
                </c:pt>
                <c:pt idx="109">
                  <c:v>41433</c:v>
                </c:pt>
                <c:pt idx="110">
                  <c:v>41433</c:v>
                </c:pt>
                <c:pt idx="111">
                  <c:v>41433</c:v>
                </c:pt>
                <c:pt idx="112">
                  <c:v>41433</c:v>
                </c:pt>
                <c:pt idx="113">
                  <c:v>41433</c:v>
                </c:pt>
                <c:pt idx="114">
                  <c:v>41433</c:v>
                </c:pt>
                <c:pt idx="115">
                  <c:v>41433</c:v>
                </c:pt>
                <c:pt idx="116">
                  <c:v>41433</c:v>
                </c:pt>
                <c:pt idx="117">
                  <c:v>41433</c:v>
                </c:pt>
                <c:pt idx="118">
                  <c:v>41433</c:v>
                </c:pt>
                <c:pt idx="120">
                  <c:v>41496</c:v>
                </c:pt>
                <c:pt idx="121">
                  <c:v>41496</c:v>
                </c:pt>
                <c:pt idx="122">
                  <c:v>41496</c:v>
                </c:pt>
                <c:pt idx="123">
                  <c:v>41496</c:v>
                </c:pt>
                <c:pt idx="124">
                  <c:v>41496</c:v>
                </c:pt>
                <c:pt idx="125">
                  <c:v>41496</c:v>
                </c:pt>
                <c:pt idx="126">
                  <c:v>41496</c:v>
                </c:pt>
                <c:pt idx="127">
                  <c:v>41496</c:v>
                </c:pt>
                <c:pt idx="128">
                  <c:v>41496</c:v>
                </c:pt>
                <c:pt idx="129">
                  <c:v>41496</c:v>
                </c:pt>
                <c:pt idx="130">
                  <c:v>41496</c:v>
                </c:pt>
                <c:pt idx="131">
                  <c:v>41496</c:v>
                </c:pt>
                <c:pt idx="132">
                  <c:v>41496</c:v>
                </c:pt>
                <c:pt idx="133">
                  <c:v>41496</c:v>
                </c:pt>
                <c:pt idx="135">
                  <c:v>41580</c:v>
                </c:pt>
                <c:pt idx="136">
                  <c:v>41580</c:v>
                </c:pt>
                <c:pt idx="137">
                  <c:v>41580</c:v>
                </c:pt>
                <c:pt idx="138">
                  <c:v>41580</c:v>
                </c:pt>
                <c:pt idx="139">
                  <c:v>41580</c:v>
                </c:pt>
                <c:pt idx="140">
                  <c:v>41580</c:v>
                </c:pt>
                <c:pt idx="141">
                  <c:v>41580</c:v>
                </c:pt>
                <c:pt idx="142">
                  <c:v>41580</c:v>
                </c:pt>
                <c:pt idx="143">
                  <c:v>41580</c:v>
                </c:pt>
                <c:pt idx="144">
                  <c:v>41580</c:v>
                </c:pt>
                <c:pt idx="145">
                  <c:v>41580</c:v>
                </c:pt>
                <c:pt idx="146">
                  <c:v>41580</c:v>
                </c:pt>
                <c:pt idx="147">
                  <c:v>41580</c:v>
                </c:pt>
                <c:pt idx="148">
                  <c:v>41580</c:v>
                </c:pt>
                <c:pt idx="150">
                  <c:v>40613</c:v>
                </c:pt>
                <c:pt idx="151">
                  <c:v>41729</c:v>
                </c:pt>
                <c:pt idx="156">
                  <c:v>40613</c:v>
                </c:pt>
                <c:pt idx="157">
                  <c:v>41729</c:v>
                </c:pt>
                <c:pt idx="158">
                  <c:v>54493</c:v>
                </c:pt>
                <c:pt idx="160">
                  <c:v>40613</c:v>
                </c:pt>
                <c:pt idx="161">
                  <c:v>41729</c:v>
                </c:pt>
                <c:pt idx="163">
                  <c:v>40613</c:v>
                </c:pt>
                <c:pt idx="164">
                  <c:v>41729</c:v>
                </c:pt>
                <c:pt idx="166">
                  <c:v>40613</c:v>
                </c:pt>
                <c:pt idx="167">
                  <c:v>41729</c:v>
                </c:pt>
                <c:pt idx="169">
                  <c:v>40613</c:v>
                </c:pt>
                <c:pt idx="170">
                  <c:v>41729</c:v>
                </c:pt>
                <c:pt idx="172">
                  <c:v>40613</c:v>
                </c:pt>
                <c:pt idx="173">
                  <c:v>41729</c:v>
                </c:pt>
                <c:pt idx="175">
                  <c:v>40613</c:v>
                </c:pt>
                <c:pt idx="176">
                  <c:v>41729</c:v>
                </c:pt>
                <c:pt idx="178">
                  <c:v>40613</c:v>
                </c:pt>
                <c:pt idx="179">
                  <c:v>41729</c:v>
                </c:pt>
                <c:pt idx="181">
                  <c:v>40613</c:v>
                </c:pt>
                <c:pt idx="182">
                  <c:v>41729</c:v>
                </c:pt>
                <c:pt idx="184">
                  <c:v>40613</c:v>
                </c:pt>
                <c:pt idx="185">
                  <c:v>41729</c:v>
                </c:pt>
                <c:pt idx="187">
                  <c:v>40613</c:v>
                </c:pt>
                <c:pt idx="188">
                  <c:v>41729</c:v>
                </c:pt>
                <c:pt idx="190">
                  <c:v>40613</c:v>
                </c:pt>
                <c:pt idx="191">
                  <c:v>41729</c:v>
                </c:pt>
                <c:pt idx="193">
                  <c:v>40613</c:v>
                </c:pt>
                <c:pt idx="194">
                  <c:v>41729</c:v>
                </c:pt>
                <c:pt idx="196">
                  <c:v>40613</c:v>
                </c:pt>
                <c:pt idx="197">
                  <c:v>41729</c:v>
                </c:pt>
                <c:pt idx="199">
                  <c:v>40613</c:v>
                </c:pt>
                <c:pt idx="200">
                  <c:v>41729</c:v>
                </c:pt>
                <c:pt idx="202">
                  <c:v>40613</c:v>
                </c:pt>
                <c:pt idx="203">
                  <c:v>41729</c:v>
                </c:pt>
                <c:pt idx="205">
                  <c:v>40613</c:v>
                </c:pt>
                <c:pt idx="206">
                  <c:v>41729</c:v>
                </c:pt>
                <c:pt idx="208">
                  <c:v>40613</c:v>
                </c:pt>
                <c:pt idx="209">
                  <c:v>41729</c:v>
                </c:pt>
                <c:pt idx="211">
                  <c:v>40613</c:v>
                </c:pt>
                <c:pt idx="212">
                  <c:v>41729</c:v>
                </c:pt>
                <c:pt idx="214">
                  <c:v>40613</c:v>
                </c:pt>
                <c:pt idx="215">
                  <c:v>41729</c:v>
                </c:pt>
                <c:pt idx="217">
                  <c:v>40613</c:v>
                </c:pt>
                <c:pt idx="218">
                  <c:v>41729</c:v>
                </c:pt>
                <c:pt idx="220">
                  <c:v>40613</c:v>
                </c:pt>
                <c:pt idx="221">
                  <c:v>41729</c:v>
                </c:pt>
                <c:pt idx="223">
                  <c:v>40613</c:v>
                </c:pt>
                <c:pt idx="224">
                  <c:v>41729</c:v>
                </c:pt>
                <c:pt idx="226">
                  <c:v>40613</c:v>
                </c:pt>
                <c:pt idx="227">
                  <c:v>41729</c:v>
                </c:pt>
                <c:pt idx="229">
                  <c:v>40613</c:v>
                </c:pt>
                <c:pt idx="230">
                  <c:v>41729</c:v>
                </c:pt>
                <c:pt idx="232">
                  <c:v>40613</c:v>
                </c:pt>
                <c:pt idx="233">
                  <c:v>41729</c:v>
                </c:pt>
                <c:pt idx="235">
                  <c:v>40613</c:v>
                </c:pt>
                <c:pt idx="236">
                  <c:v>41729</c:v>
                </c:pt>
                <c:pt idx="238">
                  <c:v>40613</c:v>
                </c:pt>
                <c:pt idx="239">
                  <c:v>41729</c:v>
                </c:pt>
                <c:pt idx="241">
                  <c:v>40613</c:v>
                </c:pt>
                <c:pt idx="242">
                  <c:v>41729</c:v>
                </c:pt>
                <c:pt idx="244">
                  <c:v>40613</c:v>
                </c:pt>
                <c:pt idx="245">
                  <c:v>41729</c:v>
                </c:pt>
                <c:pt idx="247">
                  <c:v>40613</c:v>
                </c:pt>
                <c:pt idx="248">
                  <c:v>41729</c:v>
                </c:pt>
                <c:pt idx="250">
                  <c:v>40613</c:v>
                </c:pt>
                <c:pt idx="251">
                  <c:v>41729</c:v>
                </c:pt>
                <c:pt idx="253">
                  <c:v>40613</c:v>
                </c:pt>
                <c:pt idx="254">
                  <c:v>41729</c:v>
                </c:pt>
                <c:pt idx="256">
                  <c:v>40613</c:v>
                </c:pt>
                <c:pt idx="257">
                  <c:v>41729</c:v>
                </c:pt>
                <c:pt idx="259">
                  <c:v>40613</c:v>
                </c:pt>
                <c:pt idx="260">
                  <c:v>41729</c:v>
                </c:pt>
                <c:pt idx="262">
                  <c:v>40613</c:v>
                </c:pt>
                <c:pt idx="263">
                  <c:v>41729</c:v>
                </c:pt>
                <c:pt idx="265">
                  <c:v>40613</c:v>
                </c:pt>
                <c:pt idx="266">
                  <c:v>41729</c:v>
                </c:pt>
                <c:pt idx="268">
                  <c:v>40613</c:v>
                </c:pt>
                <c:pt idx="269">
                  <c:v>41729</c:v>
                </c:pt>
                <c:pt idx="271">
                  <c:v>40613</c:v>
                </c:pt>
                <c:pt idx="272">
                  <c:v>41729</c:v>
                </c:pt>
                <c:pt idx="274">
                  <c:v>40613</c:v>
                </c:pt>
                <c:pt idx="275">
                  <c:v>41729</c:v>
                </c:pt>
                <c:pt idx="277">
                  <c:v>40613</c:v>
                </c:pt>
                <c:pt idx="278">
                  <c:v>41729</c:v>
                </c:pt>
                <c:pt idx="280">
                  <c:v>40613</c:v>
                </c:pt>
                <c:pt idx="281">
                  <c:v>41729</c:v>
                </c:pt>
              </c:numCache>
            </c:numRef>
          </c:xVal>
          <c:yVal>
            <c:numRef>
              <c:f>Graph_Data!$J$11:$J$292</c:f>
              <c:numCache>
                <c:ptCount val="282"/>
                <c:pt idx="160">
                  <c:v>-2</c:v>
                </c:pt>
                <c:pt idx="161">
                  <c:v>-2</c:v>
                </c:pt>
                <c:pt idx="175">
                  <c:v>-1.3010299956639813</c:v>
                </c:pt>
                <c:pt idx="176">
                  <c:v>-1.3010299956639813</c:v>
                </c:pt>
                <c:pt idx="190">
                  <c:v>-1</c:v>
                </c:pt>
                <c:pt idx="191">
                  <c:v>-1</c:v>
                </c:pt>
                <c:pt idx="205">
                  <c:v>-0.3010299956639812</c:v>
                </c:pt>
                <c:pt idx="206">
                  <c:v>-0.3010299956639812</c:v>
                </c:pt>
                <c:pt idx="220">
                  <c:v>0</c:v>
                </c:pt>
                <c:pt idx="221">
                  <c:v>0</c:v>
                </c:pt>
                <c:pt idx="235">
                  <c:v>0.6989700043360189</c:v>
                </c:pt>
                <c:pt idx="236">
                  <c:v>0.6989700043360189</c:v>
                </c:pt>
                <c:pt idx="250">
                  <c:v>1</c:v>
                </c:pt>
                <c:pt idx="251">
                  <c:v>1</c:v>
                </c:pt>
                <c:pt idx="265">
                  <c:v>1.6989700043360187</c:v>
                </c:pt>
                <c:pt idx="266">
                  <c:v>1.6989700043360187</c:v>
                </c:pt>
                <c:pt idx="280">
                  <c:v>2</c:v>
                </c:pt>
                <c:pt idx="281">
                  <c:v>2</c:v>
                </c:pt>
              </c:numCache>
            </c:numRef>
          </c:yVal>
          <c:smooth val="0"/>
        </c:ser>
        <c:ser>
          <c:idx val="13"/>
          <c:order val="3"/>
          <c:tx>
            <c:strRef>
              <c:f>Graph_Data!$H$7</c:f>
              <c:strCache>
                <c:ptCount val="1"/>
                <c:pt idx="0">
                  <c:v>周辺_1m近似直線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Graph_Data!$D$11:$D$292</c:f>
              <c:numCache>
                <c:ptCount val="282"/>
                <c:pt idx="0">
                  <c:v>40758</c:v>
                </c:pt>
                <c:pt idx="1">
                  <c:v>40758</c:v>
                </c:pt>
                <c:pt idx="2">
                  <c:v>40758</c:v>
                </c:pt>
                <c:pt idx="3">
                  <c:v>40758</c:v>
                </c:pt>
                <c:pt idx="4">
                  <c:v>40758</c:v>
                </c:pt>
                <c:pt idx="5">
                  <c:v>40758</c:v>
                </c:pt>
                <c:pt idx="6">
                  <c:v>40758</c:v>
                </c:pt>
                <c:pt idx="7">
                  <c:v>40758</c:v>
                </c:pt>
                <c:pt idx="8">
                  <c:v>40758</c:v>
                </c:pt>
                <c:pt idx="9">
                  <c:v>40758</c:v>
                </c:pt>
                <c:pt idx="10">
                  <c:v>40758</c:v>
                </c:pt>
                <c:pt idx="11">
                  <c:v>40758</c:v>
                </c:pt>
                <c:pt idx="12">
                  <c:v>40758</c:v>
                </c:pt>
                <c:pt idx="13">
                  <c:v>40758</c:v>
                </c:pt>
                <c:pt idx="15">
                  <c:v>40873</c:v>
                </c:pt>
                <c:pt idx="16">
                  <c:v>40873</c:v>
                </c:pt>
                <c:pt idx="17">
                  <c:v>40873</c:v>
                </c:pt>
                <c:pt idx="18">
                  <c:v>40873</c:v>
                </c:pt>
                <c:pt idx="19">
                  <c:v>40873</c:v>
                </c:pt>
                <c:pt idx="20">
                  <c:v>40873</c:v>
                </c:pt>
                <c:pt idx="21">
                  <c:v>40873</c:v>
                </c:pt>
                <c:pt idx="22">
                  <c:v>40873</c:v>
                </c:pt>
                <c:pt idx="23">
                  <c:v>40873</c:v>
                </c:pt>
                <c:pt idx="24">
                  <c:v>40873</c:v>
                </c:pt>
                <c:pt idx="25">
                  <c:v>40873</c:v>
                </c:pt>
                <c:pt idx="26">
                  <c:v>40873</c:v>
                </c:pt>
                <c:pt idx="27">
                  <c:v>40873</c:v>
                </c:pt>
                <c:pt idx="28">
                  <c:v>40873</c:v>
                </c:pt>
                <c:pt idx="30">
                  <c:v>40986</c:v>
                </c:pt>
                <c:pt idx="31">
                  <c:v>40986</c:v>
                </c:pt>
                <c:pt idx="32">
                  <c:v>40986</c:v>
                </c:pt>
                <c:pt idx="33">
                  <c:v>40986</c:v>
                </c:pt>
                <c:pt idx="34">
                  <c:v>40986</c:v>
                </c:pt>
                <c:pt idx="35">
                  <c:v>40986</c:v>
                </c:pt>
                <c:pt idx="36">
                  <c:v>40986</c:v>
                </c:pt>
                <c:pt idx="37">
                  <c:v>40986</c:v>
                </c:pt>
                <c:pt idx="38">
                  <c:v>40986</c:v>
                </c:pt>
                <c:pt idx="39">
                  <c:v>40986</c:v>
                </c:pt>
                <c:pt idx="40">
                  <c:v>40986</c:v>
                </c:pt>
                <c:pt idx="41">
                  <c:v>40986</c:v>
                </c:pt>
                <c:pt idx="42">
                  <c:v>40986</c:v>
                </c:pt>
                <c:pt idx="43">
                  <c:v>40986</c:v>
                </c:pt>
                <c:pt idx="45">
                  <c:v>41055</c:v>
                </c:pt>
                <c:pt idx="46">
                  <c:v>41055</c:v>
                </c:pt>
                <c:pt idx="47">
                  <c:v>41055</c:v>
                </c:pt>
                <c:pt idx="48">
                  <c:v>41055</c:v>
                </c:pt>
                <c:pt idx="49">
                  <c:v>41055</c:v>
                </c:pt>
                <c:pt idx="50">
                  <c:v>41055</c:v>
                </c:pt>
                <c:pt idx="51">
                  <c:v>41055</c:v>
                </c:pt>
                <c:pt idx="52">
                  <c:v>41055</c:v>
                </c:pt>
                <c:pt idx="53">
                  <c:v>41055</c:v>
                </c:pt>
                <c:pt idx="54">
                  <c:v>41055</c:v>
                </c:pt>
                <c:pt idx="55">
                  <c:v>41055</c:v>
                </c:pt>
                <c:pt idx="56">
                  <c:v>41055</c:v>
                </c:pt>
                <c:pt idx="57">
                  <c:v>41055</c:v>
                </c:pt>
                <c:pt idx="58">
                  <c:v>41055</c:v>
                </c:pt>
                <c:pt idx="60">
                  <c:v>41189</c:v>
                </c:pt>
                <c:pt idx="61">
                  <c:v>41189</c:v>
                </c:pt>
                <c:pt idx="62">
                  <c:v>41189</c:v>
                </c:pt>
                <c:pt idx="63">
                  <c:v>41189</c:v>
                </c:pt>
                <c:pt idx="64">
                  <c:v>41189</c:v>
                </c:pt>
                <c:pt idx="65">
                  <c:v>41189</c:v>
                </c:pt>
                <c:pt idx="66">
                  <c:v>41189</c:v>
                </c:pt>
                <c:pt idx="67">
                  <c:v>41189</c:v>
                </c:pt>
                <c:pt idx="68">
                  <c:v>41189</c:v>
                </c:pt>
                <c:pt idx="69">
                  <c:v>41189</c:v>
                </c:pt>
                <c:pt idx="70">
                  <c:v>41189</c:v>
                </c:pt>
                <c:pt idx="71">
                  <c:v>41189</c:v>
                </c:pt>
                <c:pt idx="72">
                  <c:v>41189</c:v>
                </c:pt>
                <c:pt idx="73">
                  <c:v>41189</c:v>
                </c:pt>
                <c:pt idx="75">
                  <c:v>41236</c:v>
                </c:pt>
                <c:pt idx="76">
                  <c:v>41236</c:v>
                </c:pt>
                <c:pt idx="77">
                  <c:v>41236</c:v>
                </c:pt>
                <c:pt idx="78">
                  <c:v>41236</c:v>
                </c:pt>
                <c:pt idx="79">
                  <c:v>41236</c:v>
                </c:pt>
                <c:pt idx="80">
                  <c:v>41236</c:v>
                </c:pt>
                <c:pt idx="81">
                  <c:v>41236</c:v>
                </c:pt>
                <c:pt idx="82">
                  <c:v>41236</c:v>
                </c:pt>
                <c:pt idx="83">
                  <c:v>41236</c:v>
                </c:pt>
                <c:pt idx="84">
                  <c:v>41236</c:v>
                </c:pt>
                <c:pt idx="85">
                  <c:v>41236</c:v>
                </c:pt>
                <c:pt idx="86">
                  <c:v>41236</c:v>
                </c:pt>
                <c:pt idx="87">
                  <c:v>41236</c:v>
                </c:pt>
                <c:pt idx="88">
                  <c:v>41236</c:v>
                </c:pt>
                <c:pt idx="90">
                  <c:v>41356</c:v>
                </c:pt>
                <c:pt idx="91">
                  <c:v>41356</c:v>
                </c:pt>
                <c:pt idx="92">
                  <c:v>41356</c:v>
                </c:pt>
                <c:pt idx="93">
                  <c:v>41356</c:v>
                </c:pt>
                <c:pt idx="94">
                  <c:v>41356</c:v>
                </c:pt>
                <c:pt idx="95">
                  <c:v>41356</c:v>
                </c:pt>
                <c:pt idx="96">
                  <c:v>41356</c:v>
                </c:pt>
                <c:pt idx="97">
                  <c:v>41356</c:v>
                </c:pt>
                <c:pt idx="98">
                  <c:v>41356</c:v>
                </c:pt>
                <c:pt idx="99">
                  <c:v>41356</c:v>
                </c:pt>
                <c:pt idx="100">
                  <c:v>41356</c:v>
                </c:pt>
                <c:pt idx="101">
                  <c:v>41356</c:v>
                </c:pt>
                <c:pt idx="102">
                  <c:v>41356</c:v>
                </c:pt>
                <c:pt idx="103">
                  <c:v>41356</c:v>
                </c:pt>
                <c:pt idx="105">
                  <c:v>41433</c:v>
                </c:pt>
                <c:pt idx="106">
                  <c:v>41433</c:v>
                </c:pt>
                <c:pt idx="107">
                  <c:v>41433</c:v>
                </c:pt>
                <c:pt idx="108">
                  <c:v>41433</c:v>
                </c:pt>
                <c:pt idx="109">
                  <c:v>41433</c:v>
                </c:pt>
                <c:pt idx="110">
                  <c:v>41433</c:v>
                </c:pt>
                <c:pt idx="111">
                  <c:v>41433</c:v>
                </c:pt>
                <c:pt idx="112">
                  <c:v>41433</c:v>
                </c:pt>
                <c:pt idx="113">
                  <c:v>41433</c:v>
                </c:pt>
                <c:pt idx="114">
                  <c:v>41433</c:v>
                </c:pt>
                <c:pt idx="115">
                  <c:v>41433</c:v>
                </c:pt>
                <c:pt idx="116">
                  <c:v>41433</c:v>
                </c:pt>
                <c:pt idx="117">
                  <c:v>41433</c:v>
                </c:pt>
                <c:pt idx="118">
                  <c:v>41433</c:v>
                </c:pt>
                <c:pt idx="120">
                  <c:v>41496</c:v>
                </c:pt>
                <c:pt idx="121">
                  <c:v>41496</c:v>
                </c:pt>
                <c:pt idx="122">
                  <c:v>41496</c:v>
                </c:pt>
                <c:pt idx="123">
                  <c:v>41496</c:v>
                </c:pt>
                <c:pt idx="124">
                  <c:v>41496</c:v>
                </c:pt>
                <c:pt idx="125">
                  <c:v>41496</c:v>
                </c:pt>
                <c:pt idx="126">
                  <c:v>41496</c:v>
                </c:pt>
                <c:pt idx="127">
                  <c:v>41496</c:v>
                </c:pt>
                <c:pt idx="128">
                  <c:v>41496</c:v>
                </c:pt>
                <c:pt idx="129">
                  <c:v>41496</c:v>
                </c:pt>
                <c:pt idx="130">
                  <c:v>41496</c:v>
                </c:pt>
                <c:pt idx="131">
                  <c:v>41496</c:v>
                </c:pt>
                <c:pt idx="132">
                  <c:v>41496</c:v>
                </c:pt>
                <c:pt idx="133">
                  <c:v>41496</c:v>
                </c:pt>
                <c:pt idx="135">
                  <c:v>41580</c:v>
                </c:pt>
                <c:pt idx="136">
                  <c:v>41580</c:v>
                </c:pt>
                <c:pt idx="137">
                  <c:v>41580</c:v>
                </c:pt>
                <c:pt idx="138">
                  <c:v>41580</c:v>
                </c:pt>
                <c:pt idx="139">
                  <c:v>41580</c:v>
                </c:pt>
                <c:pt idx="140">
                  <c:v>41580</c:v>
                </c:pt>
                <c:pt idx="141">
                  <c:v>41580</c:v>
                </c:pt>
                <c:pt idx="142">
                  <c:v>41580</c:v>
                </c:pt>
                <c:pt idx="143">
                  <c:v>41580</c:v>
                </c:pt>
                <c:pt idx="144">
                  <c:v>41580</c:v>
                </c:pt>
                <c:pt idx="145">
                  <c:v>41580</c:v>
                </c:pt>
                <c:pt idx="146">
                  <c:v>41580</c:v>
                </c:pt>
                <c:pt idx="147">
                  <c:v>41580</c:v>
                </c:pt>
                <c:pt idx="148">
                  <c:v>41580</c:v>
                </c:pt>
                <c:pt idx="150">
                  <c:v>40613</c:v>
                </c:pt>
                <c:pt idx="151">
                  <c:v>41729</c:v>
                </c:pt>
                <c:pt idx="156">
                  <c:v>40613</c:v>
                </c:pt>
                <c:pt idx="157">
                  <c:v>41729</c:v>
                </c:pt>
                <c:pt idx="158">
                  <c:v>54493</c:v>
                </c:pt>
                <c:pt idx="160">
                  <c:v>40613</c:v>
                </c:pt>
                <c:pt idx="161">
                  <c:v>41729</c:v>
                </c:pt>
                <c:pt idx="163">
                  <c:v>40613</c:v>
                </c:pt>
                <c:pt idx="164">
                  <c:v>41729</c:v>
                </c:pt>
                <c:pt idx="166">
                  <c:v>40613</c:v>
                </c:pt>
                <c:pt idx="167">
                  <c:v>41729</c:v>
                </c:pt>
                <c:pt idx="169">
                  <c:v>40613</c:v>
                </c:pt>
                <c:pt idx="170">
                  <c:v>41729</c:v>
                </c:pt>
                <c:pt idx="172">
                  <c:v>40613</c:v>
                </c:pt>
                <c:pt idx="173">
                  <c:v>41729</c:v>
                </c:pt>
                <c:pt idx="175">
                  <c:v>40613</c:v>
                </c:pt>
                <c:pt idx="176">
                  <c:v>41729</c:v>
                </c:pt>
                <c:pt idx="178">
                  <c:v>40613</c:v>
                </c:pt>
                <c:pt idx="179">
                  <c:v>41729</c:v>
                </c:pt>
                <c:pt idx="181">
                  <c:v>40613</c:v>
                </c:pt>
                <c:pt idx="182">
                  <c:v>41729</c:v>
                </c:pt>
                <c:pt idx="184">
                  <c:v>40613</c:v>
                </c:pt>
                <c:pt idx="185">
                  <c:v>41729</c:v>
                </c:pt>
                <c:pt idx="187">
                  <c:v>40613</c:v>
                </c:pt>
                <c:pt idx="188">
                  <c:v>41729</c:v>
                </c:pt>
                <c:pt idx="190">
                  <c:v>40613</c:v>
                </c:pt>
                <c:pt idx="191">
                  <c:v>41729</c:v>
                </c:pt>
                <c:pt idx="193">
                  <c:v>40613</c:v>
                </c:pt>
                <c:pt idx="194">
                  <c:v>41729</c:v>
                </c:pt>
                <c:pt idx="196">
                  <c:v>40613</c:v>
                </c:pt>
                <c:pt idx="197">
                  <c:v>41729</c:v>
                </c:pt>
                <c:pt idx="199">
                  <c:v>40613</c:v>
                </c:pt>
                <c:pt idx="200">
                  <c:v>41729</c:v>
                </c:pt>
                <c:pt idx="202">
                  <c:v>40613</c:v>
                </c:pt>
                <c:pt idx="203">
                  <c:v>41729</c:v>
                </c:pt>
                <c:pt idx="205">
                  <c:v>40613</c:v>
                </c:pt>
                <c:pt idx="206">
                  <c:v>41729</c:v>
                </c:pt>
                <c:pt idx="208">
                  <c:v>40613</c:v>
                </c:pt>
                <c:pt idx="209">
                  <c:v>41729</c:v>
                </c:pt>
                <c:pt idx="211">
                  <c:v>40613</c:v>
                </c:pt>
                <c:pt idx="212">
                  <c:v>41729</c:v>
                </c:pt>
                <c:pt idx="214">
                  <c:v>40613</c:v>
                </c:pt>
                <c:pt idx="215">
                  <c:v>41729</c:v>
                </c:pt>
                <c:pt idx="217">
                  <c:v>40613</c:v>
                </c:pt>
                <c:pt idx="218">
                  <c:v>41729</c:v>
                </c:pt>
                <c:pt idx="220">
                  <c:v>40613</c:v>
                </c:pt>
                <c:pt idx="221">
                  <c:v>41729</c:v>
                </c:pt>
                <c:pt idx="223">
                  <c:v>40613</c:v>
                </c:pt>
                <c:pt idx="224">
                  <c:v>41729</c:v>
                </c:pt>
                <c:pt idx="226">
                  <c:v>40613</c:v>
                </c:pt>
                <c:pt idx="227">
                  <c:v>41729</c:v>
                </c:pt>
                <c:pt idx="229">
                  <c:v>40613</c:v>
                </c:pt>
                <c:pt idx="230">
                  <c:v>41729</c:v>
                </c:pt>
                <c:pt idx="232">
                  <c:v>40613</c:v>
                </c:pt>
                <c:pt idx="233">
                  <c:v>41729</c:v>
                </c:pt>
                <c:pt idx="235">
                  <c:v>40613</c:v>
                </c:pt>
                <c:pt idx="236">
                  <c:v>41729</c:v>
                </c:pt>
                <c:pt idx="238">
                  <c:v>40613</c:v>
                </c:pt>
                <c:pt idx="239">
                  <c:v>41729</c:v>
                </c:pt>
                <c:pt idx="241">
                  <c:v>40613</c:v>
                </c:pt>
                <c:pt idx="242">
                  <c:v>41729</c:v>
                </c:pt>
                <c:pt idx="244">
                  <c:v>40613</c:v>
                </c:pt>
                <c:pt idx="245">
                  <c:v>41729</c:v>
                </c:pt>
                <c:pt idx="247">
                  <c:v>40613</c:v>
                </c:pt>
                <c:pt idx="248">
                  <c:v>41729</c:v>
                </c:pt>
                <c:pt idx="250">
                  <c:v>40613</c:v>
                </c:pt>
                <c:pt idx="251">
                  <c:v>41729</c:v>
                </c:pt>
                <c:pt idx="253">
                  <c:v>40613</c:v>
                </c:pt>
                <c:pt idx="254">
                  <c:v>41729</c:v>
                </c:pt>
                <c:pt idx="256">
                  <c:v>40613</c:v>
                </c:pt>
                <c:pt idx="257">
                  <c:v>41729</c:v>
                </c:pt>
                <c:pt idx="259">
                  <c:v>40613</c:v>
                </c:pt>
                <c:pt idx="260">
                  <c:v>41729</c:v>
                </c:pt>
                <c:pt idx="262">
                  <c:v>40613</c:v>
                </c:pt>
                <c:pt idx="263">
                  <c:v>41729</c:v>
                </c:pt>
                <c:pt idx="265">
                  <c:v>40613</c:v>
                </c:pt>
                <c:pt idx="266">
                  <c:v>41729</c:v>
                </c:pt>
                <c:pt idx="268">
                  <c:v>40613</c:v>
                </c:pt>
                <c:pt idx="269">
                  <c:v>41729</c:v>
                </c:pt>
                <c:pt idx="271">
                  <c:v>40613</c:v>
                </c:pt>
                <c:pt idx="272">
                  <c:v>41729</c:v>
                </c:pt>
                <c:pt idx="274">
                  <c:v>40613</c:v>
                </c:pt>
                <c:pt idx="275">
                  <c:v>41729</c:v>
                </c:pt>
                <c:pt idx="277">
                  <c:v>40613</c:v>
                </c:pt>
                <c:pt idx="278">
                  <c:v>41729</c:v>
                </c:pt>
                <c:pt idx="280">
                  <c:v>40613</c:v>
                </c:pt>
                <c:pt idx="281">
                  <c:v>41729</c:v>
                </c:pt>
              </c:numCache>
            </c:numRef>
          </c:xVal>
          <c:yVal>
            <c:numRef>
              <c:f>Graph_Data!$H$11:$H$292</c:f>
              <c:numCache>
                <c:ptCount val="282"/>
                <c:pt idx="150">
                  <c:v>1.2799128314047081</c:v>
                </c:pt>
                <c:pt idx="151">
                  <c:v>1.067918347133448</c:v>
                </c:pt>
              </c:numCache>
            </c:numRef>
          </c:yVal>
          <c:smooth val="0"/>
        </c:ser>
        <c:ser>
          <c:idx val="14"/>
          <c:order val="4"/>
          <c:tx>
            <c:strRef>
              <c:f>Graph_Data!$K$9</c:f>
              <c:strCache>
                <c:ptCount val="1"/>
                <c:pt idx="0">
                  <c:v>補助目盛1.5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Graph_Data!$D$11:$D$292</c:f>
              <c:numCache>
                <c:ptCount val="282"/>
                <c:pt idx="0">
                  <c:v>40758</c:v>
                </c:pt>
                <c:pt idx="1">
                  <c:v>40758</c:v>
                </c:pt>
                <c:pt idx="2">
                  <c:v>40758</c:v>
                </c:pt>
                <c:pt idx="3">
                  <c:v>40758</c:v>
                </c:pt>
                <c:pt idx="4">
                  <c:v>40758</c:v>
                </c:pt>
                <c:pt idx="5">
                  <c:v>40758</c:v>
                </c:pt>
                <c:pt idx="6">
                  <c:v>40758</c:v>
                </c:pt>
                <c:pt idx="7">
                  <c:v>40758</c:v>
                </c:pt>
                <c:pt idx="8">
                  <c:v>40758</c:v>
                </c:pt>
                <c:pt idx="9">
                  <c:v>40758</c:v>
                </c:pt>
                <c:pt idx="10">
                  <c:v>40758</c:v>
                </c:pt>
                <c:pt idx="11">
                  <c:v>40758</c:v>
                </c:pt>
                <c:pt idx="12">
                  <c:v>40758</c:v>
                </c:pt>
                <c:pt idx="13">
                  <c:v>40758</c:v>
                </c:pt>
                <c:pt idx="15">
                  <c:v>40873</c:v>
                </c:pt>
                <c:pt idx="16">
                  <c:v>40873</c:v>
                </c:pt>
                <c:pt idx="17">
                  <c:v>40873</c:v>
                </c:pt>
                <c:pt idx="18">
                  <c:v>40873</c:v>
                </c:pt>
                <c:pt idx="19">
                  <c:v>40873</c:v>
                </c:pt>
                <c:pt idx="20">
                  <c:v>40873</c:v>
                </c:pt>
                <c:pt idx="21">
                  <c:v>40873</c:v>
                </c:pt>
                <c:pt idx="22">
                  <c:v>40873</c:v>
                </c:pt>
                <c:pt idx="23">
                  <c:v>40873</c:v>
                </c:pt>
                <c:pt idx="24">
                  <c:v>40873</c:v>
                </c:pt>
                <c:pt idx="25">
                  <c:v>40873</c:v>
                </c:pt>
                <c:pt idx="26">
                  <c:v>40873</c:v>
                </c:pt>
                <c:pt idx="27">
                  <c:v>40873</c:v>
                </c:pt>
                <c:pt idx="28">
                  <c:v>40873</c:v>
                </c:pt>
                <c:pt idx="30">
                  <c:v>40986</c:v>
                </c:pt>
                <c:pt idx="31">
                  <c:v>40986</c:v>
                </c:pt>
                <c:pt idx="32">
                  <c:v>40986</c:v>
                </c:pt>
                <c:pt idx="33">
                  <c:v>40986</c:v>
                </c:pt>
                <c:pt idx="34">
                  <c:v>40986</c:v>
                </c:pt>
                <c:pt idx="35">
                  <c:v>40986</c:v>
                </c:pt>
                <c:pt idx="36">
                  <c:v>40986</c:v>
                </c:pt>
                <c:pt idx="37">
                  <c:v>40986</c:v>
                </c:pt>
                <c:pt idx="38">
                  <c:v>40986</c:v>
                </c:pt>
                <c:pt idx="39">
                  <c:v>40986</c:v>
                </c:pt>
                <c:pt idx="40">
                  <c:v>40986</c:v>
                </c:pt>
                <c:pt idx="41">
                  <c:v>40986</c:v>
                </c:pt>
                <c:pt idx="42">
                  <c:v>40986</c:v>
                </c:pt>
                <c:pt idx="43">
                  <c:v>40986</c:v>
                </c:pt>
                <c:pt idx="45">
                  <c:v>41055</c:v>
                </c:pt>
                <c:pt idx="46">
                  <c:v>41055</c:v>
                </c:pt>
                <c:pt idx="47">
                  <c:v>41055</c:v>
                </c:pt>
                <c:pt idx="48">
                  <c:v>41055</c:v>
                </c:pt>
                <c:pt idx="49">
                  <c:v>41055</c:v>
                </c:pt>
                <c:pt idx="50">
                  <c:v>41055</c:v>
                </c:pt>
                <c:pt idx="51">
                  <c:v>41055</c:v>
                </c:pt>
                <c:pt idx="52">
                  <c:v>41055</c:v>
                </c:pt>
                <c:pt idx="53">
                  <c:v>41055</c:v>
                </c:pt>
                <c:pt idx="54">
                  <c:v>41055</c:v>
                </c:pt>
                <c:pt idx="55">
                  <c:v>41055</c:v>
                </c:pt>
                <c:pt idx="56">
                  <c:v>41055</c:v>
                </c:pt>
                <c:pt idx="57">
                  <c:v>41055</c:v>
                </c:pt>
                <c:pt idx="58">
                  <c:v>41055</c:v>
                </c:pt>
                <c:pt idx="60">
                  <c:v>41189</c:v>
                </c:pt>
                <c:pt idx="61">
                  <c:v>41189</c:v>
                </c:pt>
                <c:pt idx="62">
                  <c:v>41189</c:v>
                </c:pt>
                <c:pt idx="63">
                  <c:v>41189</c:v>
                </c:pt>
                <c:pt idx="64">
                  <c:v>41189</c:v>
                </c:pt>
                <c:pt idx="65">
                  <c:v>41189</c:v>
                </c:pt>
                <c:pt idx="66">
                  <c:v>41189</c:v>
                </c:pt>
                <c:pt idx="67">
                  <c:v>41189</c:v>
                </c:pt>
                <c:pt idx="68">
                  <c:v>41189</c:v>
                </c:pt>
                <c:pt idx="69">
                  <c:v>41189</c:v>
                </c:pt>
                <c:pt idx="70">
                  <c:v>41189</c:v>
                </c:pt>
                <c:pt idx="71">
                  <c:v>41189</c:v>
                </c:pt>
                <c:pt idx="72">
                  <c:v>41189</c:v>
                </c:pt>
                <c:pt idx="73">
                  <c:v>41189</c:v>
                </c:pt>
                <c:pt idx="75">
                  <c:v>41236</c:v>
                </c:pt>
                <c:pt idx="76">
                  <c:v>41236</c:v>
                </c:pt>
                <c:pt idx="77">
                  <c:v>41236</c:v>
                </c:pt>
                <c:pt idx="78">
                  <c:v>41236</c:v>
                </c:pt>
                <c:pt idx="79">
                  <c:v>41236</c:v>
                </c:pt>
                <c:pt idx="80">
                  <c:v>41236</c:v>
                </c:pt>
                <c:pt idx="81">
                  <c:v>41236</c:v>
                </c:pt>
                <c:pt idx="82">
                  <c:v>41236</c:v>
                </c:pt>
                <c:pt idx="83">
                  <c:v>41236</c:v>
                </c:pt>
                <c:pt idx="84">
                  <c:v>41236</c:v>
                </c:pt>
                <c:pt idx="85">
                  <c:v>41236</c:v>
                </c:pt>
                <c:pt idx="86">
                  <c:v>41236</c:v>
                </c:pt>
                <c:pt idx="87">
                  <c:v>41236</c:v>
                </c:pt>
                <c:pt idx="88">
                  <c:v>41236</c:v>
                </c:pt>
                <c:pt idx="90">
                  <c:v>41356</c:v>
                </c:pt>
                <c:pt idx="91">
                  <c:v>41356</c:v>
                </c:pt>
                <c:pt idx="92">
                  <c:v>41356</c:v>
                </c:pt>
                <c:pt idx="93">
                  <c:v>41356</c:v>
                </c:pt>
                <c:pt idx="94">
                  <c:v>41356</c:v>
                </c:pt>
                <c:pt idx="95">
                  <c:v>41356</c:v>
                </c:pt>
                <c:pt idx="96">
                  <c:v>41356</c:v>
                </c:pt>
                <c:pt idx="97">
                  <c:v>41356</c:v>
                </c:pt>
                <c:pt idx="98">
                  <c:v>41356</c:v>
                </c:pt>
                <c:pt idx="99">
                  <c:v>41356</c:v>
                </c:pt>
                <c:pt idx="100">
                  <c:v>41356</c:v>
                </c:pt>
                <c:pt idx="101">
                  <c:v>41356</c:v>
                </c:pt>
                <c:pt idx="102">
                  <c:v>41356</c:v>
                </c:pt>
                <c:pt idx="103">
                  <c:v>41356</c:v>
                </c:pt>
                <c:pt idx="105">
                  <c:v>41433</c:v>
                </c:pt>
                <c:pt idx="106">
                  <c:v>41433</c:v>
                </c:pt>
                <c:pt idx="107">
                  <c:v>41433</c:v>
                </c:pt>
                <c:pt idx="108">
                  <c:v>41433</c:v>
                </c:pt>
                <c:pt idx="109">
                  <c:v>41433</c:v>
                </c:pt>
                <c:pt idx="110">
                  <c:v>41433</c:v>
                </c:pt>
                <c:pt idx="111">
                  <c:v>41433</c:v>
                </c:pt>
                <c:pt idx="112">
                  <c:v>41433</c:v>
                </c:pt>
                <c:pt idx="113">
                  <c:v>41433</c:v>
                </c:pt>
                <c:pt idx="114">
                  <c:v>41433</c:v>
                </c:pt>
                <c:pt idx="115">
                  <c:v>41433</c:v>
                </c:pt>
                <c:pt idx="116">
                  <c:v>41433</c:v>
                </c:pt>
                <c:pt idx="117">
                  <c:v>41433</c:v>
                </c:pt>
                <c:pt idx="118">
                  <c:v>41433</c:v>
                </c:pt>
                <c:pt idx="120">
                  <c:v>41496</c:v>
                </c:pt>
                <c:pt idx="121">
                  <c:v>41496</c:v>
                </c:pt>
                <c:pt idx="122">
                  <c:v>41496</c:v>
                </c:pt>
                <c:pt idx="123">
                  <c:v>41496</c:v>
                </c:pt>
                <c:pt idx="124">
                  <c:v>41496</c:v>
                </c:pt>
                <c:pt idx="125">
                  <c:v>41496</c:v>
                </c:pt>
                <c:pt idx="126">
                  <c:v>41496</c:v>
                </c:pt>
                <c:pt idx="127">
                  <c:v>41496</c:v>
                </c:pt>
                <c:pt idx="128">
                  <c:v>41496</c:v>
                </c:pt>
                <c:pt idx="129">
                  <c:v>41496</c:v>
                </c:pt>
                <c:pt idx="130">
                  <c:v>41496</c:v>
                </c:pt>
                <c:pt idx="131">
                  <c:v>41496</c:v>
                </c:pt>
                <c:pt idx="132">
                  <c:v>41496</c:v>
                </c:pt>
                <c:pt idx="133">
                  <c:v>41496</c:v>
                </c:pt>
                <c:pt idx="135">
                  <c:v>41580</c:v>
                </c:pt>
                <c:pt idx="136">
                  <c:v>41580</c:v>
                </c:pt>
                <c:pt idx="137">
                  <c:v>41580</c:v>
                </c:pt>
                <c:pt idx="138">
                  <c:v>41580</c:v>
                </c:pt>
                <c:pt idx="139">
                  <c:v>41580</c:v>
                </c:pt>
                <c:pt idx="140">
                  <c:v>41580</c:v>
                </c:pt>
                <c:pt idx="141">
                  <c:v>41580</c:v>
                </c:pt>
                <c:pt idx="142">
                  <c:v>41580</c:v>
                </c:pt>
                <c:pt idx="143">
                  <c:v>41580</c:v>
                </c:pt>
                <c:pt idx="144">
                  <c:v>41580</c:v>
                </c:pt>
                <c:pt idx="145">
                  <c:v>41580</c:v>
                </c:pt>
                <c:pt idx="146">
                  <c:v>41580</c:v>
                </c:pt>
                <c:pt idx="147">
                  <c:v>41580</c:v>
                </c:pt>
                <c:pt idx="148">
                  <c:v>41580</c:v>
                </c:pt>
                <c:pt idx="150">
                  <c:v>40613</c:v>
                </c:pt>
                <c:pt idx="151">
                  <c:v>41729</c:v>
                </c:pt>
                <c:pt idx="156">
                  <c:v>40613</c:v>
                </c:pt>
                <c:pt idx="157">
                  <c:v>41729</c:v>
                </c:pt>
                <c:pt idx="158">
                  <c:v>54493</c:v>
                </c:pt>
                <c:pt idx="160">
                  <c:v>40613</c:v>
                </c:pt>
                <c:pt idx="161">
                  <c:v>41729</c:v>
                </c:pt>
                <c:pt idx="163">
                  <c:v>40613</c:v>
                </c:pt>
                <c:pt idx="164">
                  <c:v>41729</c:v>
                </c:pt>
                <c:pt idx="166">
                  <c:v>40613</c:v>
                </c:pt>
                <c:pt idx="167">
                  <c:v>41729</c:v>
                </c:pt>
                <c:pt idx="169">
                  <c:v>40613</c:v>
                </c:pt>
                <c:pt idx="170">
                  <c:v>41729</c:v>
                </c:pt>
                <c:pt idx="172">
                  <c:v>40613</c:v>
                </c:pt>
                <c:pt idx="173">
                  <c:v>41729</c:v>
                </c:pt>
                <c:pt idx="175">
                  <c:v>40613</c:v>
                </c:pt>
                <c:pt idx="176">
                  <c:v>41729</c:v>
                </c:pt>
                <c:pt idx="178">
                  <c:v>40613</c:v>
                </c:pt>
                <c:pt idx="179">
                  <c:v>41729</c:v>
                </c:pt>
                <c:pt idx="181">
                  <c:v>40613</c:v>
                </c:pt>
                <c:pt idx="182">
                  <c:v>41729</c:v>
                </c:pt>
                <c:pt idx="184">
                  <c:v>40613</c:v>
                </c:pt>
                <c:pt idx="185">
                  <c:v>41729</c:v>
                </c:pt>
                <c:pt idx="187">
                  <c:v>40613</c:v>
                </c:pt>
                <c:pt idx="188">
                  <c:v>41729</c:v>
                </c:pt>
                <c:pt idx="190">
                  <c:v>40613</c:v>
                </c:pt>
                <c:pt idx="191">
                  <c:v>41729</c:v>
                </c:pt>
                <c:pt idx="193">
                  <c:v>40613</c:v>
                </c:pt>
                <c:pt idx="194">
                  <c:v>41729</c:v>
                </c:pt>
                <c:pt idx="196">
                  <c:v>40613</c:v>
                </c:pt>
                <c:pt idx="197">
                  <c:v>41729</c:v>
                </c:pt>
                <c:pt idx="199">
                  <c:v>40613</c:v>
                </c:pt>
                <c:pt idx="200">
                  <c:v>41729</c:v>
                </c:pt>
                <c:pt idx="202">
                  <c:v>40613</c:v>
                </c:pt>
                <c:pt idx="203">
                  <c:v>41729</c:v>
                </c:pt>
                <c:pt idx="205">
                  <c:v>40613</c:v>
                </c:pt>
                <c:pt idx="206">
                  <c:v>41729</c:v>
                </c:pt>
                <c:pt idx="208">
                  <c:v>40613</c:v>
                </c:pt>
                <c:pt idx="209">
                  <c:v>41729</c:v>
                </c:pt>
                <c:pt idx="211">
                  <c:v>40613</c:v>
                </c:pt>
                <c:pt idx="212">
                  <c:v>41729</c:v>
                </c:pt>
                <c:pt idx="214">
                  <c:v>40613</c:v>
                </c:pt>
                <c:pt idx="215">
                  <c:v>41729</c:v>
                </c:pt>
                <c:pt idx="217">
                  <c:v>40613</c:v>
                </c:pt>
                <c:pt idx="218">
                  <c:v>41729</c:v>
                </c:pt>
                <c:pt idx="220">
                  <c:v>40613</c:v>
                </c:pt>
                <c:pt idx="221">
                  <c:v>41729</c:v>
                </c:pt>
                <c:pt idx="223">
                  <c:v>40613</c:v>
                </c:pt>
                <c:pt idx="224">
                  <c:v>41729</c:v>
                </c:pt>
                <c:pt idx="226">
                  <c:v>40613</c:v>
                </c:pt>
                <c:pt idx="227">
                  <c:v>41729</c:v>
                </c:pt>
                <c:pt idx="229">
                  <c:v>40613</c:v>
                </c:pt>
                <c:pt idx="230">
                  <c:v>41729</c:v>
                </c:pt>
                <c:pt idx="232">
                  <c:v>40613</c:v>
                </c:pt>
                <c:pt idx="233">
                  <c:v>41729</c:v>
                </c:pt>
                <c:pt idx="235">
                  <c:v>40613</c:v>
                </c:pt>
                <c:pt idx="236">
                  <c:v>41729</c:v>
                </c:pt>
                <c:pt idx="238">
                  <c:v>40613</c:v>
                </c:pt>
                <c:pt idx="239">
                  <c:v>41729</c:v>
                </c:pt>
                <c:pt idx="241">
                  <c:v>40613</c:v>
                </c:pt>
                <c:pt idx="242">
                  <c:v>41729</c:v>
                </c:pt>
                <c:pt idx="244">
                  <c:v>40613</c:v>
                </c:pt>
                <c:pt idx="245">
                  <c:v>41729</c:v>
                </c:pt>
                <c:pt idx="247">
                  <c:v>40613</c:v>
                </c:pt>
                <c:pt idx="248">
                  <c:v>41729</c:v>
                </c:pt>
                <c:pt idx="250">
                  <c:v>40613</c:v>
                </c:pt>
                <c:pt idx="251">
                  <c:v>41729</c:v>
                </c:pt>
                <c:pt idx="253">
                  <c:v>40613</c:v>
                </c:pt>
                <c:pt idx="254">
                  <c:v>41729</c:v>
                </c:pt>
                <c:pt idx="256">
                  <c:v>40613</c:v>
                </c:pt>
                <c:pt idx="257">
                  <c:v>41729</c:v>
                </c:pt>
                <c:pt idx="259">
                  <c:v>40613</c:v>
                </c:pt>
                <c:pt idx="260">
                  <c:v>41729</c:v>
                </c:pt>
                <c:pt idx="262">
                  <c:v>40613</c:v>
                </c:pt>
                <c:pt idx="263">
                  <c:v>41729</c:v>
                </c:pt>
                <c:pt idx="265">
                  <c:v>40613</c:v>
                </c:pt>
                <c:pt idx="266">
                  <c:v>41729</c:v>
                </c:pt>
                <c:pt idx="268">
                  <c:v>40613</c:v>
                </c:pt>
                <c:pt idx="269">
                  <c:v>41729</c:v>
                </c:pt>
                <c:pt idx="271">
                  <c:v>40613</c:v>
                </c:pt>
                <c:pt idx="272">
                  <c:v>41729</c:v>
                </c:pt>
                <c:pt idx="274">
                  <c:v>40613</c:v>
                </c:pt>
                <c:pt idx="275">
                  <c:v>41729</c:v>
                </c:pt>
                <c:pt idx="277">
                  <c:v>40613</c:v>
                </c:pt>
                <c:pt idx="278">
                  <c:v>41729</c:v>
                </c:pt>
                <c:pt idx="280">
                  <c:v>40613</c:v>
                </c:pt>
                <c:pt idx="281">
                  <c:v>41729</c:v>
                </c:pt>
              </c:numCache>
            </c:numRef>
          </c:xVal>
          <c:yVal>
            <c:numRef>
              <c:f>Graph_Data!$K$11:$K$292</c:f>
              <c:numCache>
                <c:ptCount val="282"/>
                <c:pt idx="163">
                  <c:v>-1.8239087409443189</c:v>
                </c:pt>
                <c:pt idx="164">
                  <c:v>-1.8239087409443189</c:v>
                </c:pt>
                <c:pt idx="193">
                  <c:v>-0.8239087409443188</c:v>
                </c:pt>
                <c:pt idx="194">
                  <c:v>-0.8239087409443188</c:v>
                </c:pt>
                <c:pt idx="223">
                  <c:v>0.17609125905568124</c:v>
                </c:pt>
                <c:pt idx="224">
                  <c:v>0.17609125905568124</c:v>
                </c:pt>
                <c:pt idx="253">
                  <c:v>1.1760912590556813</c:v>
                </c:pt>
                <c:pt idx="254">
                  <c:v>1.1760912590556813</c:v>
                </c:pt>
              </c:numCache>
            </c:numRef>
          </c:yVal>
          <c:smooth val="0"/>
        </c:ser>
        <c:ser>
          <c:idx val="0"/>
          <c:order val="5"/>
          <c:tx>
            <c:strRef>
              <c:f>Graph_Data!$G$7</c:f>
              <c:strCache>
                <c:ptCount val="1"/>
                <c:pt idx="0">
                  <c:v>周辺_1m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Graph_Data!$D$11:$D$292</c:f>
              <c:numCache>
                <c:ptCount val="282"/>
                <c:pt idx="0">
                  <c:v>40758</c:v>
                </c:pt>
                <c:pt idx="1">
                  <c:v>40758</c:v>
                </c:pt>
                <c:pt idx="2">
                  <c:v>40758</c:v>
                </c:pt>
                <c:pt idx="3">
                  <c:v>40758</c:v>
                </c:pt>
                <c:pt idx="4">
                  <c:v>40758</c:v>
                </c:pt>
                <c:pt idx="5">
                  <c:v>40758</c:v>
                </c:pt>
                <c:pt idx="6">
                  <c:v>40758</c:v>
                </c:pt>
                <c:pt idx="7">
                  <c:v>40758</c:v>
                </c:pt>
                <c:pt idx="8">
                  <c:v>40758</c:v>
                </c:pt>
                <c:pt idx="9">
                  <c:v>40758</c:v>
                </c:pt>
                <c:pt idx="10">
                  <c:v>40758</c:v>
                </c:pt>
                <c:pt idx="11">
                  <c:v>40758</c:v>
                </c:pt>
                <c:pt idx="12">
                  <c:v>40758</c:v>
                </c:pt>
                <c:pt idx="13">
                  <c:v>40758</c:v>
                </c:pt>
                <c:pt idx="15">
                  <c:v>40873</c:v>
                </c:pt>
                <c:pt idx="16">
                  <c:v>40873</c:v>
                </c:pt>
                <c:pt idx="17">
                  <c:v>40873</c:v>
                </c:pt>
                <c:pt idx="18">
                  <c:v>40873</c:v>
                </c:pt>
                <c:pt idx="19">
                  <c:v>40873</c:v>
                </c:pt>
                <c:pt idx="20">
                  <c:v>40873</c:v>
                </c:pt>
                <c:pt idx="21">
                  <c:v>40873</c:v>
                </c:pt>
                <c:pt idx="22">
                  <c:v>40873</c:v>
                </c:pt>
                <c:pt idx="23">
                  <c:v>40873</c:v>
                </c:pt>
                <c:pt idx="24">
                  <c:v>40873</c:v>
                </c:pt>
                <c:pt idx="25">
                  <c:v>40873</c:v>
                </c:pt>
                <c:pt idx="26">
                  <c:v>40873</c:v>
                </c:pt>
                <c:pt idx="27">
                  <c:v>40873</c:v>
                </c:pt>
                <c:pt idx="28">
                  <c:v>40873</c:v>
                </c:pt>
                <c:pt idx="30">
                  <c:v>40986</c:v>
                </c:pt>
                <c:pt idx="31">
                  <c:v>40986</c:v>
                </c:pt>
                <c:pt idx="32">
                  <c:v>40986</c:v>
                </c:pt>
                <c:pt idx="33">
                  <c:v>40986</c:v>
                </c:pt>
                <c:pt idx="34">
                  <c:v>40986</c:v>
                </c:pt>
                <c:pt idx="35">
                  <c:v>40986</c:v>
                </c:pt>
                <c:pt idx="36">
                  <c:v>40986</c:v>
                </c:pt>
                <c:pt idx="37">
                  <c:v>40986</c:v>
                </c:pt>
                <c:pt idx="38">
                  <c:v>40986</c:v>
                </c:pt>
                <c:pt idx="39">
                  <c:v>40986</c:v>
                </c:pt>
                <c:pt idx="40">
                  <c:v>40986</c:v>
                </c:pt>
                <c:pt idx="41">
                  <c:v>40986</c:v>
                </c:pt>
                <c:pt idx="42">
                  <c:v>40986</c:v>
                </c:pt>
                <c:pt idx="43">
                  <c:v>40986</c:v>
                </c:pt>
                <c:pt idx="45">
                  <c:v>41055</c:v>
                </c:pt>
                <c:pt idx="46">
                  <c:v>41055</c:v>
                </c:pt>
                <c:pt idx="47">
                  <c:v>41055</c:v>
                </c:pt>
                <c:pt idx="48">
                  <c:v>41055</c:v>
                </c:pt>
                <c:pt idx="49">
                  <c:v>41055</c:v>
                </c:pt>
                <c:pt idx="50">
                  <c:v>41055</c:v>
                </c:pt>
                <c:pt idx="51">
                  <c:v>41055</c:v>
                </c:pt>
                <c:pt idx="52">
                  <c:v>41055</c:v>
                </c:pt>
                <c:pt idx="53">
                  <c:v>41055</c:v>
                </c:pt>
                <c:pt idx="54">
                  <c:v>41055</c:v>
                </c:pt>
                <c:pt idx="55">
                  <c:v>41055</c:v>
                </c:pt>
                <c:pt idx="56">
                  <c:v>41055</c:v>
                </c:pt>
                <c:pt idx="57">
                  <c:v>41055</c:v>
                </c:pt>
                <c:pt idx="58">
                  <c:v>41055</c:v>
                </c:pt>
                <c:pt idx="60">
                  <c:v>41189</c:v>
                </c:pt>
                <c:pt idx="61">
                  <c:v>41189</c:v>
                </c:pt>
                <c:pt idx="62">
                  <c:v>41189</c:v>
                </c:pt>
                <c:pt idx="63">
                  <c:v>41189</c:v>
                </c:pt>
                <c:pt idx="64">
                  <c:v>41189</c:v>
                </c:pt>
                <c:pt idx="65">
                  <c:v>41189</c:v>
                </c:pt>
                <c:pt idx="66">
                  <c:v>41189</c:v>
                </c:pt>
                <c:pt idx="67">
                  <c:v>41189</c:v>
                </c:pt>
                <c:pt idx="68">
                  <c:v>41189</c:v>
                </c:pt>
                <c:pt idx="69">
                  <c:v>41189</c:v>
                </c:pt>
                <c:pt idx="70">
                  <c:v>41189</c:v>
                </c:pt>
                <c:pt idx="71">
                  <c:v>41189</c:v>
                </c:pt>
                <c:pt idx="72">
                  <c:v>41189</c:v>
                </c:pt>
                <c:pt idx="73">
                  <c:v>41189</c:v>
                </c:pt>
                <c:pt idx="75">
                  <c:v>41236</c:v>
                </c:pt>
                <c:pt idx="76">
                  <c:v>41236</c:v>
                </c:pt>
                <c:pt idx="77">
                  <c:v>41236</c:v>
                </c:pt>
                <c:pt idx="78">
                  <c:v>41236</c:v>
                </c:pt>
                <c:pt idx="79">
                  <c:v>41236</c:v>
                </c:pt>
                <c:pt idx="80">
                  <c:v>41236</c:v>
                </c:pt>
                <c:pt idx="81">
                  <c:v>41236</c:v>
                </c:pt>
                <c:pt idx="82">
                  <c:v>41236</c:v>
                </c:pt>
                <c:pt idx="83">
                  <c:v>41236</c:v>
                </c:pt>
                <c:pt idx="84">
                  <c:v>41236</c:v>
                </c:pt>
                <c:pt idx="85">
                  <c:v>41236</c:v>
                </c:pt>
                <c:pt idx="86">
                  <c:v>41236</c:v>
                </c:pt>
                <c:pt idx="87">
                  <c:v>41236</c:v>
                </c:pt>
                <c:pt idx="88">
                  <c:v>41236</c:v>
                </c:pt>
                <c:pt idx="90">
                  <c:v>41356</c:v>
                </c:pt>
                <c:pt idx="91">
                  <c:v>41356</c:v>
                </c:pt>
                <c:pt idx="92">
                  <c:v>41356</c:v>
                </c:pt>
                <c:pt idx="93">
                  <c:v>41356</c:v>
                </c:pt>
                <c:pt idx="94">
                  <c:v>41356</c:v>
                </c:pt>
                <c:pt idx="95">
                  <c:v>41356</c:v>
                </c:pt>
                <c:pt idx="96">
                  <c:v>41356</c:v>
                </c:pt>
                <c:pt idx="97">
                  <c:v>41356</c:v>
                </c:pt>
                <c:pt idx="98">
                  <c:v>41356</c:v>
                </c:pt>
                <c:pt idx="99">
                  <c:v>41356</c:v>
                </c:pt>
                <c:pt idx="100">
                  <c:v>41356</c:v>
                </c:pt>
                <c:pt idx="101">
                  <c:v>41356</c:v>
                </c:pt>
                <c:pt idx="102">
                  <c:v>41356</c:v>
                </c:pt>
                <c:pt idx="103">
                  <c:v>41356</c:v>
                </c:pt>
                <c:pt idx="105">
                  <c:v>41433</c:v>
                </c:pt>
                <c:pt idx="106">
                  <c:v>41433</c:v>
                </c:pt>
                <c:pt idx="107">
                  <c:v>41433</c:v>
                </c:pt>
                <c:pt idx="108">
                  <c:v>41433</c:v>
                </c:pt>
                <c:pt idx="109">
                  <c:v>41433</c:v>
                </c:pt>
                <c:pt idx="110">
                  <c:v>41433</c:v>
                </c:pt>
                <c:pt idx="111">
                  <c:v>41433</c:v>
                </c:pt>
                <c:pt idx="112">
                  <c:v>41433</c:v>
                </c:pt>
                <c:pt idx="113">
                  <c:v>41433</c:v>
                </c:pt>
                <c:pt idx="114">
                  <c:v>41433</c:v>
                </c:pt>
                <c:pt idx="115">
                  <c:v>41433</c:v>
                </c:pt>
                <c:pt idx="116">
                  <c:v>41433</c:v>
                </c:pt>
                <c:pt idx="117">
                  <c:v>41433</c:v>
                </c:pt>
                <c:pt idx="118">
                  <c:v>41433</c:v>
                </c:pt>
                <c:pt idx="120">
                  <c:v>41496</c:v>
                </c:pt>
                <c:pt idx="121">
                  <c:v>41496</c:v>
                </c:pt>
                <c:pt idx="122">
                  <c:v>41496</c:v>
                </c:pt>
                <c:pt idx="123">
                  <c:v>41496</c:v>
                </c:pt>
                <c:pt idx="124">
                  <c:v>41496</c:v>
                </c:pt>
                <c:pt idx="125">
                  <c:v>41496</c:v>
                </c:pt>
                <c:pt idx="126">
                  <c:v>41496</c:v>
                </c:pt>
                <c:pt idx="127">
                  <c:v>41496</c:v>
                </c:pt>
                <c:pt idx="128">
                  <c:v>41496</c:v>
                </c:pt>
                <c:pt idx="129">
                  <c:v>41496</c:v>
                </c:pt>
                <c:pt idx="130">
                  <c:v>41496</c:v>
                </c:pt>
                <c:pt idx="131">
                  <c:v>41496</c:v>
                </c:pt>
                <c:pt idx="132">
                  <c:v>41496</c:v>
                </c:pt>
                <c:pt idx="133">
                  <c:v>41496</c:v>
                </c:pt>
                <c:pt idx="135">
                  <c:v>41580</c:v>
                </c:pt>
                <c:pt idx="136">
                  <c:v>41580</c:v>
                </c:pt>
                <c:pt idx="137">
                  <c:v>41580</c:v>
                </c:pt>
                <c:pt idx="138">
                  <c:v>41580</c:v>
                </c:pt>
                <c:pt idx="139">
                  <c:v>41580</c:v>
                </c:pt>
                <c:pt idx="140">
                  <c:v>41580</c:v>
                </c:pt>
                <c:pt idx="141">
                  <c:v>41580</c:v>
                </c:pt>
                <c:pt idx="142">
                  <c:v>41580</c:v>
                </c:pt>
                <c:pt idx="143">
                  <c:v>41580</c:v>
                </c:pt>
                <c:pt idx="144">
                  <c:v>41580</c:v>
                </c:pt>
                <c:pt idx="145">
                  <c:v>41580</c:v>
                </c:pt>
                <c:pt idx="146">
                  <c:v>41580</c:v>
                </c:pt>
                <c:pt idx="147">
                  <c:v>41580</c:v>
                </c:pt>
                <c:pt idx="148">
                  <c:v>41580</c:v>
                </c:pt>
                <c:pt idx="150">
                  <c:v>40613</c:v>
                </c:pt>
                <c:pt idx="151">
                  <c:v>41729</c:v>
                </c:pt>
                <c:pt idx="156">
                  <c:v>40613</c:v>
                </c:pt>
                <c:pt idx="157">
                  <c:v>41729</c:v>
                </c:pt>
                <c:pt idx="158">
                  <c:v>54493</c:v>
                </c:pt>
                <c:pt idx="160">
                  <c:v>40613</c:v>
                </c:pt>
                <c:pt idx="161">
                  <c:v>41729</c:v>
                </c:pt>
                <c:pt idx="163">
                  <c:v>40613</c:v>
                </c:pt>
                <c:pt idx="164">
                  <c:v>41729</c:v>
                </c:pt>
                <c:pt idx="166">
                  <c:v>40613</c:v>
                </c:pt>
                <c:pt idx="167">
                  <c:v>41729</c:v>
                </c:pt>
                <c:pt idx="169">
                  <c:v>40613</c:v>
                </c:pt>
                <c:pt idx="170">
                  <c:v>41729</c:v>
                </c:pt>
                <c:pt idx="172">
                  <c:v>40613</c:v>
                </c:pt>
                <c:pt idx="173">
                  <c:v>41729</c:v>
                </c:pt>
                <c:pt idx="175">
                  <c:v>40613</c:v>
                </c:pt>
                <c:pt idx="176">
                  <c:v>41729</c:v>
                </c:pt>
                <c:pt idx="178">
                  <c:v>40613</c:v>
                </c:pt>
                <c:pt idx="179">
                  <c:v>41729</c:v>
                </c:pt>
                <c:pt idx="181">
                  <c:v>40613</c:v>
                </c:pt>
                <c:pt idx="182">
                  <c:v>41729</c:v>
                </c:pt>
                <c:pt idx="184">
                  <c:v>40613</c:v>
                </c:pt>
                <c:pt idx="185">
                  <c:v>41729</c:v>
                </c:pt>
                <c:pt idx="187">
                  <c:v>40613</c:v>
                </c:pt>
                <c:pt idx="188">
                  <c:v>41729</c:v>
                </c:pt>
                <c:pt idx="190">
                  <c:v>40613</c:v>
                </c:pt>
                <c:pt idx="191">
                  <c:v>41729</c:v>
                </c:pt>
                <c:pt idx="193">
                  <c:v>40613</c:v>
                </c:pt>
                <c:pt idx="194">
                  <c:v>41729</c:v>
                </c:pt>
                <c:pt idx="196">
                  <c:v>40613</c:v>
                </c:pt>
                <c:pt idx="197">
                  <c:v>41729</c:v>
                </c:pt>
                <c:pt idx="199">
                  <c:v>40613</c:v>
                </c:pt>
                <c:pt idx="200">
                  <c:v>41729</c:v>
                </c:pt>
                <c:pt idx="202">
                  <c:v>40613</c:v>
                </c:pt>
                <c:pt idx="203">
                  <c:v>41729</c:v>
                </c:pt>
                <c:pt idx="205">
                  <c:v>40613</c:v>
                </c:pt>
                <c:pt idx="206">
                  <c:v>41729</c:v>
                </c:pt>
                <c:pt idx="208">
                  <c:v>40613</c:v>
                </c:pt>
                <c:pt idx="209">
                  <c:v>41729</c:v>
                </c:pt>
                <c:pt idx="211">
                  <c:v>40613</c:v>
                </c:pt>
                <c:pt idx="212">
                  <c:v>41729</c:v>
                </c:pt>
                <c:pt idx="214">
                  <c:v>40613</c:v>
                </c:pt>
                <c:pt idx="215">
                  <c:v>41729</c:v>
                </c:pt>
                <c:pt idx="217">
                  <c:v>40613</c:v>
                </c:pt>
                <c:pt idx="218">
                  <c:v>41729</c:v>
                </c:pt>
                <c:pt idx="220">
                  <c:v>40613</c:v>
                </c:pt>
                <c:pt idx="221">
                  <c:v>41729</c:v>
                </c:pt>
                <c:pt idx="223">
                  <c:v>40613</c:v>
                </c:pt>
                <c:pt idx="224">
                  <c:v>41729</c:v>
                </c:pt>
                <c:pt idx="226">
                  <c:v>40613</c:v>
                </c:pt>
                <c:pt idx="227">
                  <c:v>41729</c:v>
                </c:pt>
                <c:pt idx="229">
                  <c:v>40613</c:v>
                </c:pt>
                <c:pt idx="230">
                  <c:v>41729</c:v>
                </c:pt>
                <c:pt idx="232">
                  <c:v>40613</c:v>
                </c:pt>
                <c:pt idx="233">
                  <c:v>41729</c:v>
                </c:pt>
                <c:pt idx="235">
                  <c:v>40613</c:v>
                </c:pt>
                <c:pt idx="236">
                  <c:v>41729</c:v>
                </c:pt>
                <c:pt idx="238">
                  <c:v>40613</c:v>
                </c:pt>
                <c:pt idx="239">
                  <c:v>41729</c:v>
                </c:pt>
                <c:pt idx="241">
                  <c:v>40613</c:v>
                </c:pt>
                <c:pt idx="242">
                  <c:v>41729</c:v>
                </c:pt>
                <c:pt idx="244">
                  <c:v>40613</c:v>
                </c:pt>
                <c:pt idx="245">
                  <c:v>41729</c:v>
                </c:pt>
                <c:pt idx="247">
                  <c:v>40613</c:v>
                </c:pt>
                <c:pt idx="248">
                  <c:v>41729</c:v>
                </c:pt>
                <c:pt idx="250">
                  <c:v>40613</c:v>
                </c:pt>
                <c:pt idx="251">
                  <c:v>41729</c:v>
                </c:pt>
                <c:pt idx="253">
                  <c:v>40613</c:v>
                </c:pt>
                <c:pt idx="254">
                  <c:v>41729</c:v>
                </c:pt>
                <c:pt idx="256">
                  <c:v>40613</c:v>
                </c:pt>
                <c:pt idx="257">
                  <c:v>41729</c:v>
                </c:pt>
                <c:pt idx="259">
                  <c:v>40613</c:v>
                </c:pt>
                <c:pt idx="260">
                  <c:v>41729</c:v>
                </c:pt>
                <c:pt idx="262">
                  <c:v>40613</c:v>
                </c:pt>
                <c:pt idx="263">
                  <c:v>41729</c:v>
                </c:pt>
                <c:pt idx="265">
                  <c:v>40613</c:v>
                </c:pt>
                <c:pt idx="266">
                  <c:v>41729</c:v>
                </c:pt>
                <c:pt idx="268">
                  <c:v>40613</c:v>
                </c:pt>
                <c:pt idx="269">
                  <c:v>41729</c:v>
                </c:pt>
                <c:pt idx="271">
                  <c:v>40613</c:v>
                </c:pt>
                <c:pt idx="272">
                  <c:v>41729</c:v>
                </c:pt>
                <c:pt idx="274">
                  <c:v>40613</c:v>
                </c:pt>
                <c:pt idx="275">
                  <c:v>41729</c:v>
                </c:pt>
                <c:pt idx="277">
                  <c:v>40613</c:v>
                </c:pt>
                <c:pt idx="278">
                  <c:v>41729</c:v>
                </c:pt>
                <c:pt idx="280">
                  <c:v>40613</c:v>
                </c:pt>
                <c:pt idx="281">
                  <c:v>41729</c:v>
                </c:pt>
              </c:numCache>
            </c:numRef>
          </c:xVal>
          <c:yVal>
            <c:numRef>
              <c:f>Graph_Data!$G$11:$G$292</c:f>
              <c:numCache>
                <c:ptCount val="282"/>
                <c:pt idx="0">
                  <c:v>1.1367205671564067</c:v>
                </c:pt>
                <c:pt idx="1">
                  <c:v>1.1613680022349748</c:v>
                </c:pt>
                <c:pt idx="2">
                  <c:v>1.24551266781415</c:v>
                </c:pt>
                <c:pt idx="3">
                  <c:v>1.2671717284030137</c:v>
                </c:pt>
                <c:pt idx="4">
                  <c:v>1.3031960574204888</c:v>
                </c:pt>
                <c:pt idx="5">
                  <c:v>1.3117538610557542</c:v>
                </c:pt>
                <c:pt idx="6">
                  <c:v>1.3180633349627615</c:v>
                </c:pt>
                <c:pt idx="7">
                  <c:v>1.3483048630481607</c:v>
                </c:pt>
                <c:pt idx="8">
                  <c:v>1.3617278360175928</c:v>
                </c:pt>
                <c:pt idx="9">
                  <c:v>1.1818435879447726</c:v>
                </c:pt>
                <c:pt idx="10">
                  <c:v>1.2430380486862944</c:v>
                </c:pt>
                <c:pt idx="11">
                  <c:v>1.2576785748691846</c:v>
                </c:pt>
                <c:pt idx="12">
                  <c:v>1.252853030979893</c:v>
                </c:pt>
                <c:pt idx="13">
                  <c:v>1.2430380486862944</c:v>
                </c:pt>
                <c:pt idx="15">
                  <c:v>1.235528446907549</c:v>
                </c:pt>
                <c:pt idx="16">
                  <c:v>1.250420002308894</c:v>
                </c:pt>
                <c:pt idx="17">
                  <c:v>1.2479732663618066</c:v>
                </c:pt>
                <c:pt idx="18">
                  <c:v>1.2695129442179163</c:v>
                </c:pt>
                <c:pt idx="19">
                  <c:v>1.2695129442179163</c:v>
                </c:pt>
                <c:pt idx="20">
                  <c:v>1.2671717284030137</c:v>
                </c:pt>
                <c:pt idx="21">
                  <c:v>1.271841606536499</c:v>
                </c:pt>
                <c:pt idx="22">
                  <c:v>1.271841606536499</c:v>
                </c:pt>
                <c:pt idx="23">
                  <c:v>1.276461804173244</c:v>
                </c:pt>
                <c:pt idx="24">
                  <c:v>1.2576785748691846</c:v>
                </c:pt>
                <c:pt idx="25">
                  <c:v>1.2648178230095364</c:v>
                </c:pt>
                <c:pt idx="26">
                  <c:v>1.276461804173244</c:v>
                </c:pt>
                <c:pt idx="27">
                  <c:v>1.2695129442179163</c:v>
                </c:pt>
                <c:pt idx="28">
                  <c:v>1.2695129442179163</c:v>
                </c:pt>
                <c:pt idx="30">
                  <c:v>1.1205739312058498</c:v>
                </c:pt>
                <c:pt idx="31">
                  <c:v>1.1205739312058498</c:v>
                </c:pt>
                <c:pt idx="32">
                  <c:v>1.1846914308175989</c:v>
                </c:pt>
                <c:pt idx="33">
                  <c:v>1.187520720836463</c:v>
                </c:pt>
                <c:pt idx="34">
                  <c:v>1.2013971243204515</c:v>
                </c:pt>
                <c:pt idx="35">
                  <c:v>1.2068258760318498</c:v>
                </c:pt>
                <c:pt idx="36">
                  <c:v>1.209515014542631</c:v>
                </c:pt>
                <c:pt idx="37">
                  <c:v>1.2148438480476977</c:v>
                </c:pt>
                <c:pt idx="38">
                  <c:v>1.2201080880400552</c:v>
                </c:pt>
                <c:pt idx="39">
                  <c:v>1.1818435879447726</c:v>
                </c:pt>
                <c:pt idx="40">
                  <c:v>1.1986570869544226</c:v>
                </c:pt>
                <c:pt idx="41">
                  <c:v>1.2148438480476977</c:v>
                </c:pt>
                <c:pt idx="42">
                  <c:v>1.2304489213782739</c:v>
                </c:pt>
                <c:pt idx="43">
                  <c:v>1.2201080880400552</c:v>
                </c:pt>
                <c:pt idx="45">
                  <c:v>1.0170333392987803</c:v>
                </c:pt>
                <c:pt idx="46">
                  <c:v>1.0253058652647702</c:v>
                </c:pt>
                <c:pt idx="47">
                  <c:v>1.0791812460476249</c:v>
                </c:pt>
                <c:pt idx="48">
                  <c:v>1.0934216851622351</c:v>
                </c:pt>
                <c:pt idx="49">
                  <c:v>1.0969100130080565</c:v>
                </c:pt>
                <c:pt idx="50">
                  <c:v>1.08278537031645</c:v>
                </c:pt>
                <c:pt idx="51">
                  <c:v>1.0755469613925308</c:v>
                </c:pt>
                <c:pt idx="52">
                  <c:v>1.0755469613925308</c:v>
                </c:pt>
                <c:pt idx="53">
                  <c:v>1.0569048513364727</c:v>
                </c:pt>
                <c:pt idx="54">
                  <c:v>1.089905111439398</c:v>
                </c:pt>
                <c:pt idx="55">
                  <c:v>1.3096301674258988</c:v>
                </c:pt>
                <c:pt idx="56">
                  <c:v>1.2600713879850747</c:v>
                </c:pt>
                <c:pt idx="57">
                  <c:v>1.2648178230095364</c:v>
                </c:pt>
                <c:pt idx="58">
                  <c:v>1.2405492482825997</c:v>
                </c:pt>
                <c:pt idx="60">
                  <c:v>1.0606978403536116</c:v>
                </c:pt>
                <c:pt idx="61">
                  <c:v>1.1702617153949575</c:v>
                </c:pt>
                <c:pt idx="62">
                  <c:v>1.0681858617461617</c:v>
                </c:pt>
                <c:pt idx="63">
                  <c:v>1.0334237554869496</c:v>
                </c:pt>
                <c:pt idx="64">
                  <c:v>1.0170333392987803</c:v>
                </c:pt>
                <c:pt idx="65">
                  <c:v>1.1931245983544616</c:v>
                </c:pt>
                <c:pt idx="66">
                  <c:v>1.2329961103921538</c:v>
                </c:pt>
                <c:pt idx="67">
                  <c:v>1.1367205671564067</c:v>
                </c:pt>
                <c:pt idx="68">
                  <c:v>1.2787536009528289</c:v>
                </c:pt>
                <c:pt idx="69">
                  <c:v>1.2741578492636798</c:v>
                </c:pt>
                <c:pt idx="70">
                  <c:v>1.3031960574204888</c:v>
                </c:pt>
                <c:pt idx="71">
                  <c:v>1.307496037913213</c:v>
                </c:pt>
                <c:pt idx="72">
                  <c:v>1.2201080880400552</c:v>
                </c:pt>
                <c:pt idx="73">
                  <c:v>1.1789769472931695</c:v>
                </c:pt>
                <c:pt idx="75">
                  <c:v>1.1522883443830565</c:v>
                </c:pt>
                <c:pt idx="76">
                  <c:v>1.1643528557844371</c:v>
                </c:pt>
                <c:pt idx="77">
                  <c:v>1.1986570869544226</c:v>
                </c:pt>
                <c:pt idx="78">
                  <c:v>1.2041199826559248</c:v>
                </c:pt>
                <c:pt idx="79">
                  <c:v>1.2041199826559248</c:v>
                </c:pt>
                <c:pt idx="80">
                  <c:v>1.2041199826559248</c:v>
                </c:pt>
                <c:pt idx="81">
                  <c:v>1.2041199826559248</c:v>
                </c:pt>
                <c:pt idx="82">
                  <c:v>1.2013971243204515</c:v>
                </c:pt>
                <c:pt idx="83">
                  <c:v>1.2013971243204515</c:v>
                </c:pt>
                <c:pt idx="84">
                  <c:v>1.1760912590556813</c:v>
                </c:pt>
                <c:pt idx="85">
                  <c:v>1.1903316981702914</c:v>
                </c:pt>
                <c:pt idx="86">
                  <c:v>1.1986570869544226</c:v>
                </c:pt>
                <c:pt idx="87">
                  <c:v>1.1986570869544226</c:v>
                </c:pt>
                <c:pt idx="88">
                  <c:v>1.1958996524092338</c:v>
                </c:pt>
                <c:pt idx="90">
                  <c:v>1.0791812460476249</c:v>
                </c:pt>
                <c:pt idx="91">
                  <c:v>1.1038037209559568</c:v>
                </c:pt>
                <c:pt idx="92">
                  <c:v>1.1238516409670858</c:v>
                </c:pt>
                <c:pt idx="93">
                  <c:v>1.0644579892269184</c:v>
                </c:pt>
                <c:pt idx="94">
                  <c:v>1.089905111439398</c:v>
                </c:pt>
                <c:pt idx="95">
                  <c:v>1.0969100130080565</c:v>
                </c:pt>
                <c:pt idx="96">
                  <c:v>1.1139433523068367</c:v>
                </c:pt>
                <c:pt idx="97">
                  <c:v>0.9731278535996987</c:v>
                </c:pt>
                <c:pt idx="98">
                  <c:v>1.209515014542631</c:v>
                </c:pt>
                <c:pt idx="99">
                  <c:v>1.1931245983544616</c:v>
                </c:pt>
                <c:pt idx="100">
                  <c:v>1.2013971243204515</c:v>
                </c:pt>
                <c:pt idx="101">
                  <c:v>1.2148438480476977</c:v>
                </c:pt>
                <c:pt idx="102">
                  <c:v>1.2174839442139063</c:v>
                </c:pt>
                <c:pt idx="103">
                  <c:v>1.2013971243204515</c:v>
                </c:pt>
                <c:pt idx="105">
                  <c:v>1.1139433523068367</c:v>
                </c:pt>
                <c:pt idx="106">
                  <c:v>1.1172712956557642</c:v>
                </c:pt>
                <c:pt idx="107">
                  <c:v>1.0253058652647702</c:v>
                </c:pt>
                <c:pt idx="108">
                  <c:v>1.1335389083702174</c:v>
                </c:pt>
                <c:pt idx="109">
                  <c:v>1.146128035678238</c:v>
                </c:pt>
                <c:pt idx="110">
                  <c:v>1.1398790864012365</c:v>
                </c:pt>
                <c:pt idx="111">
                  <c:v>1.1367205671564067</c:v>
                </c:pt>
                <c:pt idx="112">
                  <c:v>1.2278867046136734</c:v>
                </c:pt>
                <c:pt idx="113">
                  <c:v>1.24551266781415</c:v>
                </c:pt>
                <c:pt idx="114">
                  <c:v>1.1271047983648077</c:v>
                </c:pt>
                <c:pt idx="115">
                  <c:v>1.173186268412274</c:v>
                </c:pt>
                <c:pt idx="116">
                  <c:v>1.173186268412274</c:v>
                </c:pt>
                <c:pt idx="117">
                  <c:v>1.1958996524092338</c:v>
                </c:pt>
                <c:pt idx="118">
                  <c:v>1.1818435879447726</c:v>
                </c:pt>
                <c:pt idx="120">
                  <c:v>1.0681858617461617</c:v>
                </c:pt>
                <c:pt idx="121">
                  <c:v>1.0863598306747482</c:v>
                </c:pt>
                <c:pt idx="122">
                  <c:v>1.0718820073061255</c:v>
                </c:pt>
                <c:pt idx="123">
                  <c:v>1.0791812460476249</c:v>
                </c:pt>
                <c:pt idx="124">
                  <c:v>1.1038037209559568</c:v>
                </c:pt>
                <c:pt idx="125">
                  <c:v>1.0791812460476249</c:v>
                </c:pt>
                <c:pt idx="126">
                  <c:v>1.0934216851622351</c:v>
                </c:pt>
                <c:pt idx="127">
                  <c:v>1.0530784434834197</c:v>
                </c:pt>
                <c:pt idx="128">
                  <c:v>1.1846914308175989</c:v>
                </c:pt>
                <c:pt idx="129">
                  <c:v>1.14921911265538</c:v>
                </c:pt>
                <c:pt idx="130">
                  <c:v>1.2648178230095364</c:v>
                </c:pt>
                <c:pt idx="131">
                  <c:v>1.110589710299249</c:v>
                </c:pt>
                <c:pt idx="132">
                  <c:v>1.0969100130080565</c:v>
                </c:pt>
                <c:pt idx="133">
                  <c:v>1.0934216851622351</c:v>
                </c:pt>
                <c:pt idx="135">
                  <c:v>1.0718820073061255</c:v>
                </c:pt>
                <c:pt idx="136">
                  <c:v>1.0863598306747482</c:v>
                </c:pt>
                <c:pt idx="137">
                  <c:v>1.1038037209559568</c:v>
                </c:pt>
                <c:pt idx="138">
                  <c:v>0.9576072870600952</c:v>
                </c:pt>
                <c:pt idx="139">
                  <c:v>1.1271047983648077</c:v>
                </c:pt>
                <c:pt idx="140">
                  <c:v>1.0530784434834197</c:v>
                </c:pt>
                <c:pt idx="141">
                  <c:v>1.0681858617461617</c:v>
                </c:pt>
                <c:pt idx="142">
                  <c:v>1.0086001717619175</c:v>
                </c:pt>
                <c:pt idx="143">
                  <c:v>1.1205739312058498</c:v>
                </c:pt>
                <c:pt idx="144">
                  <c:v>1.110589710299249</c:v>
                </c:pt>
                <c:pt idx="145">
                  <c:v>1.1522883443830565</c:v>
                </c:pt>
                <c:pt idx="146">
                  <c:v>1.1072099696478683</c:v>
                </c:pt>
                <c:pt idx="147">
                  <c:v>1.0934216851622351</c:v>
                </c:pt>
                <c:pt idx="148">
                  <c:v>1.08278537031645</c:v>
                </c:pt>
              </c:numCache>
            </c:numRef>
          </c:yVal>
          <c:smooth val="0"/>
        </c:ser>
        <c:ser>
          <c:idx val="1"/>
          <c:order val="6"/>
          <c:tx>
            <c:strRef>
              <c:f>Graph_Data!$C$255</c:f>
              <c:strCache>
                <c:ptCount val="1"/>
                <c:pt idx="0">
                  <c:v>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l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Graph_Data!$D$255</c:f>
              <c:numCache>
                <c:ptCount val="1"/>
                <c:pt idx="0">
                  <c:v>40613</c:v>
                </c:pt>
              </c:numCache>
            </c:numRef>
          </c:xVal>
          <c:yVal>
            <c:numRef>
              <c:f>Graph_Data!$P$255</c:f>
              <c:numCache>
                <c:ptCount val="1"/>
                <c:pt idx="0">
                  <c:v>0.9030899869919435</c:v>
                </c:pt>
              </c:numCache>
            </c:numRef>
          </c:yVal>
          <c:smooth val="0"/>
        </c:ser>
        <c:ser>
          <c:idx val="2"/>
          <c:order val="7"/>
          <c:tx>
            <c:strRef>
              <c:f>Graph_Data!$C$258</c:f>
              <c:strCache>
                <c:ptCount val="1"/>
                <c:pt idx="0">
                  <c:v>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l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Graph_Data!$D$258</c:f>
              <c:numCache>
                <c:ptCount val="1"/>
                <c:pt idx="0">
                  <c:v>40613</c:v>
                </c:pt>
              </c:numCache>
            </c:numRef>
          </c:xVal>
          <c:yVal>
            <c:numRef>
              <c:f>Graph_Data!$P$258</c:f>
              <c:numCache>
                <c:ptCount val="1"/>
                <c:pt idx="0">
                  <c:v>0.9542425094393249</c:v>
                </c:pt>
              </c:numCache>
            </c:numRef>
          </c:yVal>
          <c:smooth val="0"/>
        </c:ser>
        <c:ser>
          <c:idx val="3"/>
          <c:order val="8"/>
          <c:tx>
            <c:strRef>
              <c:f>Graph_Data!$C$261</c:f>
              <c:strCache>
                <c:ptCount val="1"/>
                <c:pt idx="0">
                  <c:v>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l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Graph_Data!$D$261</c:f>
              <c:numCache>
                <c:ptCount val="1"/>
                <c:pt idx="0">
                  <c:v>40613</c:v>
                </c:pt>
              </c:numCache>
            </c:numRef>
          </c:xVal>
          <c:yVal>
            <c:numRef>
              <c:f>Graph_Data!$P$261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9"/>
          <c:tx>
            <c:strRef>
              <c:f>Graph_Data!$C$264</c:f>
              <c:strCache>
                <c:ptCount val="1"/>
                <c:pt idx="0">
                  <c:v>15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l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Graph_Data!$D$264</c:f>
              <c:numCache>
                <c:ptCount val="1"/>
                <c:pt idx="0">
                  <c:v>40613</c:v>
                </c:pt>
              </c:numCache>
            </c:numRef>
          </c:xVal>
          <c:yVal>
            <c:numRef>
              <c:f>Graph_Data!$P$264</c:f>
              <c:numCache>
                <c:ptCount val="1"/>
                <c:pt idx="0">
                  <c:v>1.1760912590556813</c:v>
                </c:pt>
              </c:numCache>
            </c:numRef>
          </c:yVal>
          <c:smooth val="0"/>
        </c:ser>
        <c:ser>
          <c:idx val="8"/>
          <c:order val="10"/>
          <c:tx>
            <c:strRef>
              <c:f>Graph_Data!$C$267</c:f>
              <c:strCache>
                <c:ptCount val="1"/>
                <c:pt idx="0">
                  <c:v>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l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Graph_Data!$D$267</c:f>
              <c:numCache>
                <c:ptCount val="1"/>
                <c:pt idx="0">
                  <c:v>40613</c:v>
                </c:pt>
              </c:numCache>
            </c:numRef>
          </c:xVal>
          <c:yVal>
            <c:numRef>
              <c:f>Graph_Data!$P$267</c:f>
              <c:numCache>
                <c:ptCount val="1"/>
                <c:pt idx="0">
                  <c:v>1.3010299956639813</c:v>
                </c:pt>
              </c:numCache>
            </c:numRef>
          </c:yVal>
          <c:smooth val="0"/>
        </c:ser>
        <c:ser>
          <c:idx val="9"/>
          <c:order val="11"/>
          <c:tx>
            <c:strRef>
              <c:f>Graph_Data!$C$270</c:f>
              <c:strCache>
                <c:ptCount val="1"/>
                <c:pt idx="0">
                  <c:v>30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l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Graph_Data!$D$270</c:f>
              <c:numCache>
                <c:ptCount val="1"/>
                <c:pt idx="0">
                  <c:v>40613</c:v>
                </c:pt>
              </c:numCache>
            </c:numRef>
          </c:xVal>
          <c:yVal>
            <c:numRef>
              <c:f>Graph_Data!$P$270</c:f>
              <c:numCache>
                <c:ptCount val="1"/>
                <c:pt idx="0">
                  <c:v>1.4771212547196624</c:v>
                </c:pt>
              </c:numCache>
            </c:numRef>
          </c:yVal>
          <c:smooth val="0"/>
        </c:ser>
        <c:ser>
          <c:idx val="10"/>
          <c:order val="12"/>
          <c:tx>
            <c:strRef>
              <c:f>Graph_Data!$C$273</c:f>
              <c:strCache>
                <c:ptCount val="1"/>
                <c:pt idx="0">
                  <c:v>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Graph_Data!$D$273</c:f>
              <c:numCache>
                <c:ptCount val="1"/>
                <c:pt idx="0">
                  <c:v>40613</c:v>
                </c:pt>
              </c:numCache>
            </c:numRef>
          </c:xVal>
          <c:yVal>
            <c:numRef>
              <c:f>Graph_Data!$P$273</c:f>
              <c:numCache>
                <c:ptCount val="1"/>
                <c:pt idx="0">
                  <c:v>1.6020599913279623</c:v>
                </c:pt>
              </c:numCache>
            </c:numRef>
          </c:yVal>
          <c:smooth val="0"/>
        </c:ser>
        <c:ser>
          <c:idx val="11"/>
          <c:order val="13"/>
          <c:tx>
            <c:strRef>
              <c:f>Graph_Data!$C$276</c:f>
              <c:strCache>
                <c:ptCount val="1"/>
                <c:pt idx="0">
                  <c:v>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Graph_Data!$D$276</c:f>
              <c:numCache>
                <c:ptCount val="1"/>
                <c:pt idx="0">
                  <c:v>40613</c:v>
                </c:pt>
              </c:numCache>
            </c:numRef>
          </c:xVal>
          <c:yVal>
            <c:numRef>
              <c:f>Graph_Data!$P$276</c:f>
              <c:numCache>
                <c:ptCount val="1"/>
                <c:pt idx="0">
                  <c:v>1.6989700043360187</c:v>
                </c:pt>
              </c:numCache>
            </c:numRef>
          </c:yVal>
          <c:smooth val="0"/>
        </c:ser>
        <c:ser>
          <c:idx val="12"/>
          <c:order val="14"/>
          <c:tx>
            <c:strRef>
              <c:f>Graph_Data!$C$279</c:f>
              <c:strCache>
                <c:ptCount val="1"/>
                <c:pt idx="0">
                  <c:v>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Graph_Data!$D$279</c:f>
              <c:numCache>
                <c:ptCount val="1"/>
                <c:pt idx="0">
                  <c:v>40613</c:v>
                </c:pt>
              </c:numCache>
            </c:numRef>
          </c:xVal>
          <c:yVal>
            <c:numRef>
              <c:f>Graph_Data!$P$279</c:f>
              <c:numCache>
                <c:ptCount val="1"/>
                <c:pt idx="0">
                  <c:v>1.7781512503836436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Graph_Data!$C$282</c:f>
              <c:strCache>
                <c:ptCount val="1"/>
                <c:pt idx="0">
                  <c:v>70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Graph_Data!$D$282</c:f>
              <c:numCache>
                <c:ptCount val="1"/>
                <c:pt idx="0">
                  <c:v>40613</c:v>
                </c:pt>
              </c:numCache>
            </c:numRef>
          </c:xVal>
          <c:yVal>
            <c:numRef>
              <c:f>Graph_Data!$P$282</c:f>
              <c:numCache>
                <c:ptCount val="1"/>
                <c:pt idx="0">
                  <c:v>1.845098040014257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Graph_Data!$C$285</c:f>
              <c:strCache>
                <c:ptCount val="1"/>
                <c:pt idx="0">
                  <c:v>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Graph_Data!$D$285</c:f>
              <c:numCache>
                <c:ptCount val="1"/>
                <c:pt idx="0">
                  <c:v>40613</c:v>
                </c:pt>
              </c:numCache>
            </c:numRef>
          </c:xVal>
          <c:yVal>
            <c:numRef>
              <c:f>Graph_Data!$P$285</c:f>
              <c:numCache>
                <c:ptCount val="1"/>
                <c:pt idx="0">
                  <c:v>1.9030899869919435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Graph_Data!$C$288</c:f>
              <c:strCache>
                <c:ptCount val="1"/>
                <c:pt idx="0">
                  <c:v>90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Graph_Data!$D$288</c:f>
              <c:numCache>
                <c:ptCount val="1"/>
                <c:pt idx="0">
                  <c:v>40613</c:v>
                </c:pt>
              </c:numCache>
            </c:numRef>
          </c:xVal>
          <c:yVal>
            <c:numRef>
              <c:f>Graph_Data!$P$288</c:f>
              <c:numCache>
                <c:ptCount val="1"/>
                <c:pt idx="0">
                  <c:v>1.954242509439325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Graph_Data!$C$291</c:f>
              <c:strCache>
                <c:ptCount val="1"/>
                <c:pt idx="0">
                  <c:v>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Graph_Data!$D$291</c:f>
              <c:numCache>
                <c:ptCount val="1"/>
                <c:pt idx="0">
                  <c:v>40613</c:v>
                </c:pt>
              </c:numCache>
            </c:numRef>
          </c:xVal>
          <c:yVal>
            <c:numRef>
              <c:f>Graph_Data!$P$291</c:f>
              <c:numCache>
                <c:ptCount val="1"/>
                <c:pt idx="0">
                  <c:v>2</c:v>
                </c:pt>
              </c:numCache>
            </c:numRef>
          </c:yVal>
          <c:smooth val="0"/>
        </c:ser>
        <c:axId val="47008492"/>
        <c:axId val="20423245"/>
      </c:scatterChart>
      <c:valAx>
        <c:axId val="47008492"/>
        <c:scaling>
          <c:orientation val="minMax"/>
          <c:max val="41700"/>
          <c:min val="40613"/>
        </c:scaling>
        <c:axPos val="b"/>
        <c:delete val="0"/>
        <c:numFmt formatCode="m/d;@" sourceLinked="0"/>
        <c:majorTickMark val="none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0423245"/>
        <c:crosses val="autoZero"/>
        <c:crossBetween val="midCat"/>
        <c:dispUnits/>
        <c:majorUnit val="60"/>
      </c:valAx>
      <c:valAx>
        <c:axId val="20423245"/>
        <c:scaling>
          <c:orientation val="minMax"/>
          <c:max val="1.5"/>
          <c:min val="0.929418926"/>
        </c:scaling>
        <c:axPos val="l"/>
        <c:delete val="1"/>
        <c:majorTickMark val="none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4700849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"/>
          <c:y val="0.0935"/>
          <c:w val="0.887"/>
          <c:h val="0.87625"/>
        </c:manualLayout>
      </c:layout>
      <c:scatterChart>
        <c:scatterStyle val="lineMarker"/>
        <c:varyColors val="0"/>
        <c:ser>
          <c:idx val="5"/>
          <c:order val="0"/>
          <c:tx>
            <c:strRef>
              <c:f>Graph_Data!$F$7</c:f>
              <c:strCache>
                <c:ptCount val="1"/>
                <c:pt idx="0">
                  <c:v>周辺_1m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Graph_Data!$E$11:$E$292</c:f>
              <c:numCache>
                <c:ptCount val="282"/>
                <c:pt idx="0">
                  <c:v>145</c:v>
                </c:pt>
                <c:pt idx="1">
                  <c:v>145</c:v>
                </c:pt>
                <c:pt idx="2">
                  <c:v>145</c:v>
                </c:pt>
                <c:pt idx="3">
                  <c:v>145</c:v>
                </c:pt>
                <c:pt idx="4">
                  <c:v>145</c:v>
                </c:pt>
                <c:pt idx="5">
                  <c:v>145</c:v>
                </c:pt>
                <c:pt idx="6">
                  <c:v>145</c:v>
                </c:pt>
                <c:pt idx="7">
                  <c:v>145</c:v>
                </c:pt>
                <c:pt idx="8">
                  <c:v>145</c:v>
                </c:pt>
                <c:pt idx="9">
                  <c:v>145</c:v>
                </c:pt>
                <c:pt idx="10">
                  <c:v>145</c:v>
                </c:pt>
                <c:pt idx="11">
                  <c:v>145</c:v>
                </c:pt>
                <c:pt idx="12">
                  <c:v>145</c:v>
                </c:pt>
                <c:pt idx="13">
                  <c:v>145</c:v>
                </c:pt>
                <c:pt idx="15">
                  <c:v>260</c:v>
                </c:pt>
                <c:pt idx="16">
                  <c:v>260</c:v>
                </c:pt>
                <c:pt idx="17">
                  <c:v>260</c:v>
                </c:pt>
                <c:pt idx="18">
                  <c:v>260</c:v>
                </c:pt>
                <c:pt idx="19">
                  <c:v>260</c:v>
                </c:pt>
                <c:pt idx="20">
                  <c:v>260</c:v>
                </c:pt>
                <c:pt idx="21">
                  <c:v>260</c:v>
                </c:pt>
                <c:pt idx="22">
                  <c:v>260</c:v>
                </c:pt>
                <c:pt idx="23">
                  <c:v>260</c:v>
                </c:pt>
                <c:pt idx="24">
                  <c:v>260</c:v>
                </c:pt>
                <c:pt idx="25">
                  <c:v>260</c:v>
                </c:pt>
                <c:pt idx="26">
                  <c:v>260</c:v>
                </c:pt>
                <c:pt idx="27">
                  <c:v>260</c:v>
                </c:pt>
                <c:pt idx="28">
                  <c:v>260</c:v>
                </c:pt>
                <c:pt idx="30">
                  <c:v>373</c:v>
                </c:pt>
                <c:pt idx="31">
                  <c:v>373</c:v>
                </c:pt>
                <c:pt idx="32">
                  <c:v>373</c:v>
                </c:pt>
                <c:pt idx="33">
                  <c:v>373</c:v>
                </c:pt>
                <c:pt idx="34">
                  <c:v>373</c:v>
                </c:pt>
                <c:pt idx="35">
                  <c:v>373</c:v>
                </c:pt>
                <c:pt idx="36">
                  <c:v>373</c:v>
                </c:pt>
                <c:pt idx="37">
                  <c:v>373</c:v>
                </c:pt>
                <c:pt idx="38">
                  <c:v>373</c:v>
                </c:pt>
                <c:pt idx="39">
                  <c:v>373</c:v>
                </c:pt>
                <c:pt idx="40">
                  <c:v>373</c:v>
                </c:pt>
                <c:pt idx="41">
                  <c:v>373</c:v>
                </c:pt>
                <c:pt idx="42">
                  <c:v>373</c:v>
                </c:pt>
                <c:pt idx="43">
                  <c:v>373</c:v>
                </c:pt>
                <c:pt idx="45">
                  <c:v>442</c:v>
                </c:pt>
                <c:pt idx="46">
                  <c:v>442</c:v>
                </c:pt>
                <c:pt idx="47">
                  <c:v>442</c:v>
                </c:pt>
                <c:pt idx="48">
                  <c:v>442</c:v>
                </c:pt>
                <c:pt idx="49">
                  <c:v>442</c:v>
                </c:pt>
                <c:pt idx="50">
                  <c:v>442</c:v>
                </c:pt>
                <c:pt idx="51">
                  <c:v>442</c:v>
                </c:pt>
                <c:pt idx="52">
                  <c:v>442</c:v>
                </c:pt>
                <c:pt idx="53">
                  <c:v>442</c:v>
                </c:pt>
                <c:pt idx="54">
                  <c:v>442</c:v>
                </c:pt>
                <c:pt idx="55">
                  <c:v>442</c:v>
                </c:pt>
                <c:pt idx="56">
                  <c:v>442</c:v>
                </c:pt>
                <c:pt idx="57">
                  <c:v>442</c:v>
                </c:pt>
                <c:pt idx="58">
                  <c:v>442</c:v>
                </c:pt>
                <c:pt idx="60">
                  <c:v>576</c:v>
                </c:pt>
                <c:pt idx="61">
                  <c:v>576</c:v>
                </c:pt>
                <c:pt idx="62">
                  <c:v>576</c:v>
                </c:pt>
                <c:pt idx="63">
                  <c:v>576</c:v>
                </c:pt>
                <c:pt idx="64">
                  <c:v>576</c:v>
                </c:pt>
                <c:pt idx="65">
                  <c:v>576</c:v>
                </c:pt>
                <c:pt idx="66">
                  <c:v>576</c:v>
                </c:pt>
                <c:pt idx="67">
                  <c:v>576</c:v>
                </c:pt>
                <c:pt idx="68">
                  <c:v>576</c:v>
                </c:pt>
                <c:pt idx="69">
                  <c:v>576</c:v>
                </c:pt>
                <c:pt idx="70">
                  <c:v>576</c:v>
                </c:pt>
                <c:pt idx="71">
                  <c:v>576</c:v>
                </c:pt>
                <c:pt idx="72">
                  <c:v>576</c:v>
                </c:pt>
                <c:pt idx="73">
                  <c:v>576</c:v>
                </c:pt>
                <c:pt idx="75">
                  <c:v>623</c:v>
                </c:pt>
                <c:pt idx="76">
                  <c:v>623</c:v>
                </c:pt>
                <c:pt idx="77">
                  <c:v>623</c:v>
                </c:pt>
                <c:pt idx="78">
                  <c:v>623</c:v>
                </c:pt>
                <c:pt idx="79">
                  <c:v>623</c:v>
                </c:pt>
                <c:pt idx="80">
                  <c:v>623</c:v>
                </c:pt>
                <c:pt idx="81">
                  <c:v>623</c:v>
                </c:pt>
                <c:pt idx="82">
                  <c:v>623</c:v>
                </c:pt>
                <c:pt idx="83">
                  <c:v>623</c:v>
                </c:pt>
                <c:pt idx="84">
                  <c:v>623</c:v>
                </c:pt>
                <c:pt idx="85">
                  <c:v>623</c:v>
                </c:pt>
                <c:pt idx="86">
                  <c:v>623</c:v>
                </c:pt>
                <c:pt idx="87">
                  <c:v>623</c:v>
                </c:pt>
                <c:pt idx="88">
                  <c:v>623</c:v>
                </c:pt>
                <c:pt idx="90">
                  <c:v>743</c:v>
                </c:pt>
                <c:pt idx="91">
                  <c:v>743</c:v>
                </c:pt>
                <c:pt idx="92">
                  <c:v>743</c:v>
                </c:pt>
                <c:pt idx="93">
                  <c:v>743</c:v>
                </c:pt>
                <c:pt idx="94">
                  <c:v>743</c:v>
                </c:pt>
                <c:pt idx="95">
                  <c:v>743</c:v>
                </c:pt>
                <c:pt idx="96">
                  <c:v>743</c:v>
                </c:pt>
                <c:pt idx="97">
                  <c:v>743</c:v>
                </c:pt>
                <c:pt idx="98">
                  <c:v>743</c:v>
                </c:pt>
                <c:pt idx="99">
                  <c:v>743</c:v>
                </c:pt>
                <c:pt idx="100">
                  <c:v>743</c:v>
                </c:pt>
                <c:pt idx="101">
                  <c:v>743</c:v>
                </c:pt>
                <c:pt idx="102">
                  <c:v>743</c:v>
                </c:pt>
                <c:pt idx="103">
                  <c:v>743</c:v>
                </c:pt>
                <c:pt idx="105">
                  <c:v>820</c:v>
                </c:pt>
                <c:pt idx="106">
                  <c:v>820</c:v>
                </c:pt>
                <c:pt idx="107">
                  <c:v>820</c:v>
                </c:pt>
                <c:pt idx="108">
                  <c:v>820</c:v>
                </c:pt>
                <c:pt idx="109">
                  <c:v>820</c:v>
                </c:pt>
                <c:pt idx="110">
                  <c:v>820</c:v>
                </c:pt>
                <c:pt idx="111">
                  <c:v>820</c:v>
                </c:pt>
                <c:pt idx="112">
                  <c:v>820</c:v>
                </c:pt>
                <c:pt idx="113">
                  <c:v>820</c:v>
                </c:pt>
                <c:pt idx="114">
                  <c:v>820</c:v>
                </c:pt>
                <c:pt idx="115">
                  <c:v>820</c:v>
                </c:pt>
                <c:pt idx="116">
                  <c:v>820</c:v>
                </c:pt>
                <c:pt idx="117">
                  <c:v>820</c:v>
                </c:pt>
                <c:pt idx="118">
                  <c:v>820</c:v>
                </c:pt>
                <c:pt idx="120">
                  <c:v>883</c:v>
                </c:pt>
                <c:pt idx="121">
                  <c:v>883</c:v>
                </c:pt>
                <c:pt idx="122">
                  <c:v>883</c:v>
                </c:pt>
                <c:pt idx="123">
                  <c:v>883</c:v>
                </c:pt>
                <c:pt idx="124">
                  <c:v>883</c:v>
                </c:pt>
                <c:pt idx="125">
                  <c:v>883</c:v>
                </c:pt>
                <c:pt idx="126">
                  <c:v>883</c:v>
                </c:pt>
                <c:pt idx="127">
                  <c:v>883</c:v>
                </c:pt>
                <c:pt idx="128">
                  <c:v>883</c:v>
                </c:pt>
                <c:pt idx="129">
                  <c:v>883</c:v>
                </c:pt>
                <c:pt idx="130">
                  <c:v>883</c:v>
                </c:pt>
                <c:pt idx="131">
                  <c:v>883</c:v>
                </c:pt>
                <c:pt idx="132">
                  <c:v>883</c:v>
                </c:pt>
                <c:pt idx="133">
                  <c:v>883</c:v>
                </c:pt>
                <c:pt idx="135">
                  <c:v>967</c:v>
                </c:pt>
                <c:pt idx="136">
                  <c:v>967</c:v>
                </c:pt>
                <c:pt idx="137">
                  <c:v>967</c:v>
                </c:pt>
                <c:pt idx="138">
                  <c:v>967</c:v>
                </c:pt>
                <c:pt idx="139">
                  <c:v>967</c:v>
                </c:pt>
                <c:pt idx="140">
                  <c:v>967</c:v>
                </c:pt>
                <c:pt idx="141">
                  <c:v>967</c:v>
                </c:pt>
                <c:pt idx="142">
                  <c:v>967</c:v>
                </c:pt>
                <c:pt idx="143">
                  <c:v>967</c:v>
                </c:pt>
                <c:pt idx="144">
                  <c:v>967</c:v>
                </c:pt>
                <c:pt idx="145">
                  <c:v>967</c:v>
                </c:pt>
                <c:pt idx="146">
                  <c:v>967</c:v>
                </c:pt>
                <c:pt idx="147">
                  <c:v>967</c:v>
                </c:pt>
                <c:pt idx="148">
                  <c:v>967</c:v>
                </c:pt>
                <c:pt idx="150">
                  <c:v>0</c:v>
                </c:pt>
                <c:pt idx="151">
                  <c:v>13880</c:v>
                </c:pt>
                <c:pt idx="153">
                  <c:v>13586.826114414815</c:v>
                </c:pt>
                <c:pt idx="154">
                  <c:v>13586.826114414815</c:v>
                </c:pt>
                <c:pt idx="156">
                  <c:v>0</c:v>
                </c:pt>
                <c:pt idx="157">
                  <c:v>1116</c:v>
                </c:pt>
                <c:pt idx="158">
                  <c:v>13880</c:v>
                </c:pt>
                <c:pt idx="160">
                  <c:v>0</c:v>
                </c:pt>
                <c:pt idx="161">
                  <c:v>13880</c:v>
                </c:pt>
                <c:pt idx="163">
                  <c:v>0</c:v>
                </c:pt>
                <c:pt idx="164">
                  <c:v>13880</c:v>
                </c:pt>
                <c:pt idx="166">
                  <c:v>0</c:v>
                </c:pt>
                <c:pt idx="167">
                  <c:v>13880</c:v>
                </c:pt>
                <c:pt idx="169">
                  <c:v>0</c:v>
                </c:pt>
                <c:pt idx="170">
                  <c:v>13880</c:v>
                </c:pt>
                <c:pt idx="172">
                  <c:v>0</c:v>
                </c:pt>
                <c:pt idx="173">
                  <c:v>13880</c:v>
                </c:pt>
                <c:pt idx="175">
                  <c:v>0</c:v>
                </c:pt>
                <c:pt idx="176">
                  <c:v>13880</c:v>
                </c:pt>
                <c:pt idx="178">
                  <c:v>0</c:v>
                </c:pt>
                <c:pt idx="179">
                  <c:v>13880</c:v>
                </c:pt>
                <c:pt idx="181">
                  <c:v>0</c:v>
                </c:pt>
                <c:pt idx="182">
                  <c:v>13880</c:v>
                </c:pt>
                <c:pt idx="184">
                  <c:v>0</c:v>
                </c:pt>
                <c:pt idx="185">
                  <c:v>13880</c:v>
                </c:pt>
                <c:pt idx="187">
                  <c:v>0</c:v>
                </c:pt>
                <c:pt idx="188">
                  <c:v>13880</c:v>
                </c:pt>
                <c:pt idx="190">
                  <c:v>0</c:v>
                </c:pt>
                <c:pt idx="191">
                  <c:v>13880</c:v>
                </c:pt>
                <c:pt idx="193">
                  <c:v>0</c:v>
                </c:pt>
                <c:pt idx="194">
                  <c:v>13880</c:v>
                </c:pt>
                <c:pt idx="196">
                  <c:v>0</c:v>
                </c:pt>
                <c:pt idx="197">
                  <c:v>13880</c:v>
                </c:pt>
                <c:pt idx="199">
                  <c:v>0</c:v>
                </c:pt>
                <c:pt idx="200">
                  <c:v>13880</c:v>
                </c:pt>
                <c:pt idx="202">
                  <c:v>0</c:v>
                </c:pt>
                <c:pt idx="203">
                  <c:v>13880</c:v>
                </c:pt>
                <c:pt idx="205">
                  <c:v>0</c:v>
                </c:pt>
                <c:pt idx="206">
                  <c:v>13880</c:v>
                </c:pt>
                <c:pt idx="208">
                  <c:v>0</c:v>
                </c:pt>
                <c:pt idx="209">
                  <c:v>13880</c:v>
                </c:pt>
                <c:pt idx="211">
                  <c:v>0</c:v>
                </c:pt>
                <c:pt idx="212">
                  <c:v>13880</c:v>
                </c:pt>
                <c:pt idx="214">
                  <c:v>0</c:v>
                </c:pt>
                <c:pt idx="215">
                  <c:v>13880</c:v>
                </c:pt>
                <c:pt idx="217">
                  <c:v>0</c:v>
                </c:pt>
                <c:pt idx="218">
                  <c:v>13880</c:v>
                </c:pt>
                <c:pt idx="220">
                  <c:v>0</c:v>
                </c:pt>
                <c:pt idx="221">
                  <c:v>13880</c:v>
                </c:pt>
                <c:pt idx="223">
                  <c:v>0</c:v>
                </c:pt>
                <c:pt idx="224">
                  <c:v>13880</c:v>
                </c:pt>
                <c:pt idx="226">
                  <c:v>0</c:v>
                </c:pt>
                <c:pt idx="227">
                  <c:v>13880</c:v>
                </c:pt>
                <c:pt idx="229">
                  <c:v>0</c:v>
                </c:pt>
                <c:pt idx="230">
                  <c:v>13880</c:v>
                </c:pt>
                <c:pt idx="232">
                  <c:v>0</c:v>
                </c:pt>
                <c:pt idx="233">
                  <c:v>13880</c:v>
                </c:pt>
                <c:pt idx="235">
                  <c:v>0</c:v>
                </c:pt>
                <c:pt idx="236">
                  <c:v>13880</c:v>
                </c:pt>
                <c:pt idx="238">
                  <c:v>0</c:v>
                </c:pt>
                <c:pt idx="239">
                  <c:v>13880</c:v>
                </c:pt>
                <c:pt idx="241">
                  <c:v>0</c:v>
                </c:pt>
                <c:pt idx="242">
                  <c:v>13880</c:v>
                </c:pt>
                <c:pt idx="244">
                  <c:v>0</c:v>
                </c:pt>
                <c:pt idx="245">
                  <c:v>13880</c:v>
                </c:pt>
                <c:pt idx="247">
                  <c:v>0</c:v>
                </c:pt>
                <c:pt idx="248">
                  <c:v>13880</c:v>
                </c:pt>
                <c:pt idx="250">
                  <c:v>0</c:v>
                </c:pt>
                <c:pt idx="251">
                  <c:v>13880</c:v>
                </c:pt>
                <c:pt idx="253">
                  <c:v>0</c:v>
                </c:pt>
                <c:pt idx="254">
                  <c:v>13880</c:v>
                </c:pt>
                <c:pt idx="256">
                  <c:v>0</c:v>
                </c:pt>
                <c:pt idx="257">
                  <c:v>13880</c:v>
                </c:pt>
                <c:pt idx="259">
                  <c:v>0</c:v>
                </c:pt>
                <c:pt idx="260">
                  <c:v>13880</c:v>
                </c:pt>
                <c:pt idx="262">
                  <c:v>0</c:v>
                </c:pt>
                <c:pt idx="263">
                  <c:v>13880</c:v>
                </c:pt>
                <c:pt idx="265">
                  <c:v>0</c:v>
                </c:pt>
                <c:pt idx="266">
                  <c:v>13880</c:v>
                </c:pt>
                <c:pt idx="268">
                  <c:v>0</c:v>
                </c:pt>
                <c:pt idx="269">
                  <c:v>13880</c:v>
                </c:pt>
                <c:pt idx="271">
                  <c:v>0</c:v>
                </c:pt>
                <c:pt idx="272">
                  <c:v>13880</c:v>
                </c:pt>
                <c:pt idx="274">
                  <c:v>0</c:v>
                </c:pt>
                <c:pt idx="275">
                  <c:v>13880</c:v>
                </c:pt>
                <c:pt idx="277">
                  <c:v>0</c:v>
                </c:pt>
                <c:pt idx="278">
                  <c:v>13880</c:v>
                </c:pt>
                <c:pt idx="280">
                  <c:v>0</c:v>
                </c:pt>
                <c:pt idx="281">
                  <c:v>13880</c:v>
                </c:pt>
              </c:numCache>
            </c:numRef>
          </c:xVal>
          <c:yVal>
            <c:numRef>
              <c:f>Graph_Data!$F$11:$F$292</c:f>
              <c:numCache>
                <c:ptCount val="282"/>
                <c:pt idx="0">
                  <c:v>1.2594478720914102</c:v>
                </c:pt>
                <c:pt idx="15">
                  <c:v>1.2641606028679384</c:v>
                </c:pt>
                <c:pt idx="30">
                  <c:v>1.1937108212438337</c:v>
                </c:pt>
                <c:pt idx="45">
                  <c:v>1.126257859382997</c:v>
                </c:pt>
                <c:pt idx="60">
                  <c:v>1.1767951692190657</c:v>
                </c:pt>
                <c:pt idx="75">
                  <c:v>1.1924435178521835</c:v>
                </c:pt>
                <c:pt idx="90">
                  <c:v>1.134495898667941</c:v>
                </c:pt>
                <c:pt idx="105">
                  <c:v>1.1526719327717612</c:v>
                </c:pt>
                <c:pt idx="120">
                  <c:v>1.1096245583125683</c:v>
                </c:pt>
                <c:pt idx="135">
                  <c:v>1.0816779380262818</c:v>
                </c:pt>
              </c:numCache>
            </c:numRef>
          </c:yVal>
          <c:smooth val="0"/>
        </c:ser>
        <c:ser>
          <c:idx val="6"/>
          <c:order val="1"/>
          <c:tx>
            <c:strRef>
              <c:f>Graph_Data!$I$9</c:f>
              <c:strCache>
                <c:ptCount val="1"/>
                <c:pt idx="0">
                  <c:v>補助目盛</c:v>
                </c:pt>
              </c:strCache>
            </c:strRef>
          </c:tx>
          <c:spPr>
            <a:ln w="3175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Graph_Data!$E$11:$E$292</c:f>
              <c:numCache>
                <c:ptCount val="282"/>
                <c:pt idx="0">
                  <c:v>145</c:v>
                </c:pt>
                <c:pt idx="1">
                  <c:v>145</c:v>
                </c:pt>
                <c:pt idx="2">
                  <c:v>145</c:v>
                </c:pt>
                <c:pt idx="3">
                  <c:v>145</c:v>
                </c:pt>
                <c:pt idx="4">
                  <c:v>145</c:v>
                </c:pt>
                <c:pt idx="5">
                  <c:v>145</c:v>
                </c:pt>
                <c:pt idx="6">
                  <c:v>145</c:v>
                </c:pt>
                <c:pt idx="7">
                  <c:v>145</c:v>
                </c:pt>
                <c:pt idx="8">
                  <c:v>145</c:v>
                </c:pt>
                <c:pt idx="9">
                  <c:v>145</c:v>
                </c:pt>
                <c:pt idx="10">
                  <c:v>145</c:v>
                </c:pt>
                <c:pt idx="11">
                  <c:v>145</c:v>
                </c:pt>
                <c:pt idx="12">
                  <c:v>145</c:v>
                </c:pt>
                <c:pt idx="13">
                  <c:v>145</c:v>
                </c:pt>
                <c:pt idx="15">
                  <c:v>260</c:v>
                </c:pt>
                <c:pt idx="16">
                  <c:v>260</c:v>
                </c:pt>
                <c:pt idx="17">
                  <c:v>260</c:v>
                </c:pt>
                <c:pt idx="18">
                  <c:v>260</c:v>
                </c:pt>
                <c:pt idx="19">
                  <c:v>260</c:v>
                </c:pt>
                <c:pt idx="20">
                  <c:v>260</c:v>
                </c:pt>
                <c:pt idx="21">
                  <c:v>260</c:v>
                </c:pt>
                <c:pt idx="22">
                  <c:v>260</c:v>
                </c:pt>
                <c:pt idx="23">
                  <c:v>260</c:v>
                </c:pt>
                <c:pt idx="24">
                  <c:v>260</c:v>
                </c:pt>
                <c:pt idx="25">
                  <c:v>260</c:v>
                </c:pt>
                <c:pt idx="26">
                  <c:v>260</c:v>
                </c:pt>
                <c:pt idx="27">
                  <c:v>260</c:v>
                </c:pt>
                <c:pt idx="28">
                  <c:v>260</c:v>
                </c:pt>
                <c:pt idx="30">
                  <c:v>373</c:v>
                </c:pt>
                <c:pt idx="31">
                  <c:v>373</c:v>
                </c:pt>
                <c:pt idx="32">
                  <c:v>373</c:v>
                </c:pt>
                <c:pt idx="33">
                  <c:v>373</c:v>
                </c:pt>
                <c:pt idx="34">
                  <c:v>373</c:v>
                </c:pt>
                <c:pt idx="35">
                  <c:v>373</c:v>
                </c:pt>
                <c:pt idx="36">
                  <c:v>373</c:v>
                </c:pt>
                <c:pt idx="37">
                  <c:v>373</c:v>
                </c:pt>
                <c:pt idx="38">
                  <c:v>373</c:v>
                </c:pt>
                <c:pt idx="39">
                  <c:v>373</c:v>
                </c:pt>
                <c:pt idx="40">
                  <c:v>373</c:v>
                </c:pt>
                <c:pt idx="41">
                  <c:v>373</c:v>
                </c:pt>
                <c:pt idx="42">
                  <c:v>373</c:v>
                </c:pt>
                <c:pt idx="43">
                  <c:v>373</c:v>
                </c:pt>
                <c:pt idx="45">
                  <c:v>442</c:v>
                </c:pt>
                <c:pt idx="46">
                  <c:v>442</c:v>
                </c:pt>
                <c:pt idx="47">
                  <c:v>442</c:v>
                </c:pt>
                <c:pt idx="48">
                  <c:v>442</c:v>
                </c:pt>
                <c:pt idx="49">
                  <c:v>442</c:v>
                </c:pt>
                <c:pt idx="50">
                  <c:v>442</c:v>
                </c:pt>
                <c:pt idx="51">
                  <c:v>442</c:v>
                </c:pt>
                <c:pt idx="52">
                  <c:v>442</c:v>
                </c:pt>
                <c:pt idx="53">
                  <c:v>442</c:v>
                </c:pt>
                <c:pt idx="54">
                  <c:v>442</c:v>
                </c:pt>
                <c:pt idx="55">
                  <c:v>442</c:v>
                </c:pt>
                <c:pt idx="56">
                  <c:v>442</c:v>
                </c:pt>
                <c:pt idx="57">
                  <c:v>442</c:v>
                </c:pt>
                <c:pt idx="58">
                  <c:v>442</c:v>
                </c:pt>
                <c:pt idx="60">
                  <c:v>576</c:v>
                </c:pt>
                <c:pt idx="61">
                  <c:v>576</c:v>
                </c:pt>
                <c:pt idx="62">
                  <c:v>576</c:v>
                </c:pt>
                <c:pt idx="63">
                  <c:v>576</c:v>
                </c:pt>
                <c:pt idx="64">
                  <c:v>576</c:v>
                </c:pt>
                <c:pt idx="65">
                  <c:v>576</c:v>
                </c:pt>
                <c:pt idx="66">
                  <c:v>576</c:v>
                </c:pt>
                <c:pt idx="67">
                  <c:v>576</c:v>
                </c:pt>
                <c:pt idx="68">
                  <c:v>576</c:v>
                </c:pt>
                <c:pt idx="69">
                  <c:v>576</c:v>
                </c:pt>
                <c:pt idx="70">
                  <c:v>576</c:v>
                </c:pt>
                <c:pt idx="71">
                  <c:v>576</c:v>
                </c:pt>
                <c:pt idx="72">
                  <c:v>576</c:v>
                </c:pt>
                <c:pt idx="73">
                  <c:v>576</c:v>
                </c:pt>
                <c:pt idx="75">
                  <c:v>623</c:v>
                </c:pt>
                <c:pt idx="76">
                  <c:v>623</c:v>
                </c:pt>
                <c:pt idx="77">
                  <c:v>623</c:v>
                </c:pt>
                <c:pt idx="78">
                  <c:v>623</c:v>
                </c:pt>
                <c:pt idx="79">
                  <c:v>623</c:v>
                </c:pt>
                <c:pt idx="80">
                  <c:v>623</c:v>
                </c:pt>
                <c:pt idx="81">
                  <c:v>623</c:v>
                </c:pt>
                <c:pt idx="82">
                  <c:v>623</c:v>
                </c:pt>
                <c:pt idx="83">
                  <c:v>623</c:v>
                </c:pt>
                <c:pt idx="84">
                  <c:v>623</c:v>
                </c:pt>
                <c:pt idx="85">
                  <c:v>623</c:v>
                </c:pt>
                <c:pt idx="86">
                  <c:v>623</c:v>
                </c:pt>
                <c:pt idx="87">
                  <c:v>623</c:v>
                </c:pt>
                <c:pt idx="88">
                  <c:v>623</c:v>
                </c:pt>
                <c:pt idx="90">
                  <c:v>743</c:v>
                </c:pt>
                <c:pt idx="91">
                  <c:v>743</c:v>
                </c:pt>
                <c:pt idx="92">
                  <c:v>743</c:v>
                </c:pt>
                <c:pt idx="93">
                  <c:v>743</c:v>
                </c:pt>
                <c:pt idx="94">
                  <c:v>743</c:v>
                </c:pt>
                <c:pt idx="95">
                  <c:v>743</c:v>
                </c:pt>
                <c:pt idx="96">
                  <c:v>743</c:v>
                </c:pt>
                <c:pt idx="97">
                  <c:v>743</c:v>
                </c:pt>
                <c:pt idx="98">
                  <c:v>743</c:v>
                </c:pt>
                <c:pt idx="99">
                  <c:v>743</c:v>
                </c:pt>
                <c:pt idx="100">
                  <c:v>743</c:v>
                </c:pt>
                <c:pt idx="101">
                  <c:v>743</c:v>
                </c:pt>
                <c:pt idx="102">
                  <c:v>743</c:v>
                </c:pt>
                <c:pt idx="103">
                  <c:v>743</c:v>
                </c:pt>
                <c:pt idx="105">
                  <c:v>820</c:v>
                </c:pt>
                <c:pt idx="106">
                  <c:v>820</c:v>
                </c:pt>
                <c:pt idx="107">
                  <c:v>820</c:v>
                </c:pt>
                <c:pt idx="108">
                  <c:v>820</c:v>
                </c:pt>
                <c:pt idx="109">
                  <c:v>820</c:v>
                </c:pt>
                <c:pt idx="110">
                  <c:v>820</c:v>
                </c:pt>
                <c:pt idx="111">
                  <c:v>820</c:v>
                </c:pt>
                <c:pt idx="112">
                  <c:v>820</c:v>
                </c:pt>
                <c:pt idx="113">
                  <c:v>820</c:v>
                </c:pt>
                <c:pt idx="114">
                  <c:v>820</c:v>
                </c:pt>
                <c:pt idx="115">
                  <c:v>820</c:v>
                </c:pt>
                <c:pt idx="116">
                  <c:v>820</c:v>
                </c:pt>
                <c:pt idx="117">
                  <c:v>820</c:v>
                </c:pt>
                <c:pt idx="118">
                  <c:v>820</c:v>
                </c:pt>
                <c:pt idx="120">
                  <c:v>883</c:v>
                </c:pt>
                <c:pt idx="121">
                  <c:v>883</c:v>
                </c:pt>
                <c:pt idx="122">
                  <c:v>883</c:v>
                </c:pt>
                <c:pt idx="123">
                  <c:v>883</c:v>
                </c:pt>
                <c:pt idx="124">
                  <c:v>883</c:v>
                </c:pt>
                <c:pt idx="125">
                  <c:v>883</c:v>
                </c:pt>
                <c:pt idx="126">
                  <c:v>883</c:v>
                </c:pt>
                <c:pt idx="127">
                  <c:v>883</c:v>
                </c:pt>
                <c:pt idx="128">
                  <c:v>883</c:v>
                </c:pt>
                <c:pt idx="129">
                  <c:v>883</c:v>
                </c:pt>
                <c:pt idx="130">
                  <c:v>883</c:v>
                </c:pt>
                <c:pt idx="131">
                  <c:v>883</c:v>
                </c:pt>
                <c:pt idx="132">
                  <c:v>883</c:v>
                </c:pt>
                <c:pt idx="133">
                  <c:v>883</c:v>
                </c:pt>
                <c:pt idx="135">
                  <c:v>967</c:v>
                </c:pt>
                <c:pt idx="136">
                  <c:v>967</c:v>
                </c:pt>
                <c:pt idx="137">
                  <c:v>967</c:v>
                </c:pt>
                <c:pt idx="138">
                  <c:v>967</c:v>
                </c:pt>
                <c:pt idx="139">
                  <c:v>967</c:v>
                </c:pt>
                <c:pt idx="140">
                  <c:v>967</c:v>
                </c:pt>
                <c:pt idx="141">
                  <c:v>967</c:v>
                </c:pt>
                <c:pt idx="142">
                  <c:v>967</c:v>
                </c:pt>
                <c:pt idx="143">
                  <c:v>967</c:v>
                </c:pt>
                <c:pt idx="144">
                  <c:v>967</c:v>
                </c:pt>
                <c:pt idx="145">
                  <c:v>967</c:v>
                </c:pt>
                <c:pt idx="146">
                  <c:v>967</c:v>
                </c:pt>
                <c:pt idx="147">
                  <c:v>967</c:v>
                </c:pt>
                <c:pt idx="148">
                  <c:v>967</c:v>
                </c:pt>
                <c:pt idx="150">
                  <c:v>0</c:v>
                </c:pt>
                <c:pt idx="151">
                  <c:v>13880</c:v>
                </c:pt>
                <c:pt idx="153">
                  <c:v>13586.826114414815</c:v>
                </c:pt>
                <c:pt idx="154">
                  <c:v>13586.826114414815</c:v>
                </c:pt>
                <c:pt idx="156">
                  <c:v>0</c:v>
                </c:pt>
                <c:pt idx="157">
                  <c:v>1116</c:v>
                </c:pt>
                <c:pt idx="158">
                  <c:v>13880</c:v>
                </c:pt>
                <c:pt idx="160">
                  <c:v>0</c:v>
                </c:pt>
                <c:pt idx="161">
                  <c:v>13880</c:v>
                </c:pt>
                <c:pt idx="163">
                  <c:v>0</c:v>
                </c:pt>
                <c:pt idx="164">
                  <c:v>13880</c:v>
                </c:pt>
                <c:pt idx="166">
                  <c:v>0</c:v>
                </c:pt>
                <c:pt idx="167">
                  <c:v>13880</c:v>
                </c:pt>
                <c:pt idx="169">
                  <c:v>0</c:v>
                </c:pt>
                <c:pt idx="170">
                  <c:v>13880</c:v>
                </c:pt>
                <c:pt idx="172">
                  <c:v>0</c:v>
                </c:pt>
                <c:pt idx="173">
                  <c:v>13880</c:v>
                </c:pt>
                <c:pt idx="175">
                  <c:v>0</c:v>
                </c:pt>
                <c:pt idx="176">
                  <c:v>13880</c:v>
                </c:pt>
                <c:pt idx="178">
                  <c:v>0</c:v>
                </c:pt>
                <c:pt idx="179">
                  <c:v>13880</c:v>
                </c:pt>
                <c:pt idx="181">
                  <c:v>0</c:v>
                </c:pt>
                <c:pt idx="182">
                  <c:v>13880</c:v>
                </c:pt>
                <c:pt idx="184">
                  <c:v>0</c:v>
                </c:pt>
                <c:pt idx="185">
                  <c:v>13880</c:v>
                </c:pt>
                <c:pt idx="187">
                  <c:v>0</c:v>
                </c:pt>
                <c:pt idx="188">
                  <c:v>13880</c:v>
                </c:pt>
                <c:pt idx="190">
                  <c:v>0</c:v>
                </c:pt>
                <c:pt idx="191">
                  <c:v>13880</c:v>
                </c:pt>
                <c:pt idx="193">
                  <c:v>0</c:v>
                </c:pt>
                <c:pt idx="194">
                  <c:v>13880</c:v>
                </c:pt>
                <c:pt idx="196">
                  <c:v>0</c:v>
                </c:pt>
                <c:pt idx="197">
                  <c:v>13880</c:v>
                </c:pt>
                <c:pt idx="199">
                  <c:v>0</c:v>
                </c:pt>
                <c:pt idx="200">
                  <c:v>13880</c:v>
                </c:pt>
                <c:pt idx="202">
                  <c:v>0</c:v>
                </c:pt>
                <c:pt idx="203">
                  <c:v>13880</c:v>
                </c:pt>
                <c:pt idx="205">
                  <c:v>0</c:v>
                </c:pt>
                <c:pt idx="206">
                  <c:v>13880</c:v>
                </c:pt>
                <c:pt idx="208">
                  <c:v>0</c:v>
                </c:pt>
                <c:pt idx="209">
                  <c:v>13880</c:v>
                </c:pt>
                <c:pt idx="211">
                  <c:v>0</c:v>
                </c:pt>
                <c:pt idx="212">
                  <c:v>13880</c:v>
                </c:pt>
                <c:pt idx="214">
                  <c:v>0</c:v>
                </c:pt>
                <c:pt idx="215">
                  <c:v>13880</c:v>
                </c:pt>
                <c:pt idx="217">
                  <c:v>0</c:v>
                </c:pt>
                <c:pt idx="218">
                  <c:v>13880</c:v>
                </c:pt>
                <c:pt idx="220">
                  <c:v>0</c:v>
                </c:pt>
                <c:pt idx="221">
                  <c:v>13880</c:v>
                </c:pt>
                <c:pt idx="223">
                  <c:v>0</c:v>
                </c:pt>
                <c:pt idx="224">
                  <c:v>13880</c:v>
                </c:pt>
                <c:pt idx="226">
                  <c:v>0</c:v>
                </c:pt>
                <c:pt idx="227">
                  <c:v>13880</c:v>
                </c:pt>
                <c:pt idx="229">
                  <c:v>0</c:v>
                </c:pt>
                <c:pt idx="230">
                  <c:v>13880</c:v>
                </c:pt>
                <c:pt idx="232">
                  <c:v>0</c:v>
                </c:pt>
                <c:pt idx="233">
                  <c:v>13880</c:v>
                </c:pt>
                <c:pt idx="235">
                  <c:v>0</c:v>
                </c:pt>
                <c:pt idx="236">
                  <c:v>13880</c:v>
                </c:pt>
                <c:pt idx="238">
                  <c:v>0</c:v>
                </c:pt>
                <c:pt idx="239">
                  <c:v>13880</c:v>
                </c:pt>
                <c:pt idx="241">
                  <c:v>0</c:v>
                </c:pt>
                <c:pt idx="242">
                  <c:v>13880</c:v>
                </c:pt>
                <c:pt idx="244">
                  <c:v>0</c:v>
                </c:pt>
                <c:pt idx="245">
                  <c:v>13880</c:v>
                </c:pt>
                <c:pt idx="247">
                  <c:v>0</c:v>
                </c:pt>
                <c:pt idx="248">
                  <c:v>13880</c:v>
                </c:pt>
                <c:pt idx="250">
                  <c:v>0</c:v>
                </c:pt>
                <c:pt idx="251">
                  <c:v>13880</c:v>
                </c:pt>
                <c:pt idx="253">
                  <c:v>0</c:v>
                </c:pt>
                <c:pt idx="254">
                  <c:v>13880</c:v>
                </c:pt>
                <c:pt idx="256">
                  <c:v>0</c:v>
                </c:pt>
                <c:pt idx="257">
                  <c:v>13880</c:v>
                </c:pt>
                <c:pt idx="259">
                  <c:v>0</c:v>
                </c:pt>
                <c:pt idx="260">
                  <c:v>13880</c:v>
                </c:pt>
                <c:pt idx="262">
                  <c:v>0</c:v>
                </c:pt>
                <c:pt idx="263">
                  <c:v>13880</c:v>
                </c:pt>
                <c:pt idx="265">
                  <c:v>0</c:v>
                </c:pt>
                <c:pt idx="266">
                  <c:v>13880</c:v>
                </c:pt>
                <c:pt idx="268">
                  <c:v>0</c:v>
                </c:pt>
                <c:pt idx="269">
                  <c:v>13880</c:v>
                </c:pt>
                <c:pt idx="271">
                  <c:v>0</c:v>
                </c:pt>
                <c:pt idx="272">
                  <c:v>13880</c:v>
                </c:pt>
                <c:pt idx="274">
                  <c:v>0</c:v>
                </c:pt>
                <c:pt idx="275">
                  <c:v>13880</c:v>
                </c:pt>
                <c:pt idx="277">
                  <c:v>0</c:v>
                </c:pt>
                <c:pt idx="278">
                  <c:v>13880</c:v>
                </c:pt>
                <c:pt idx="280">
                  <c:v>0</c:v>
                </c:pt>
                <c:pt idx="281">
                  <c:v>13880</c:v>
                </c:pt>
              </c:numCache>
            </c:numRef>
          </c:xVal>
          <c:yVal>
            <c:numRef>
              <c:f>Graph_Data!$I$11:$I$292</c:f>
              <c:numCache>
                <c:ptCount val="282"/>
                <c:pt idx="166">
                  <c:v>-1.6989700043360187</c:v>
                </c:pt>
                <c:pt idx="167">
                  <c:v>-1.6989700043360187</c:v>
                </c:pt>
                <c:pt idx="169">
                  <c:v>-1.5228787452803376</c:v>
                </c:pt>
                <c:pt idx="170">
                  <c:v>-1.5228787452803376</c:v>
                </c:pt>
                <c:pt idx="172">
                  <c:v>-1.3979400086720375</c:v>
                </c:pt>
                <c:pt idx="173">
                  <c:v>-1.3979400086720375</c:v>
                </c:pt>
                <c:pt idx="178">
                  <c:v>-1.2218487496163564</c:v>
                </c:pt>
                <c:pt idx="179">
                  <c:v>-1.2218487496163564</c:v>
                </c:pt>
                <c:pt idx="181">
                  <c:v>-1.154901959985743</c:v>
                </c:pt>
                <c:pt idx="182">
                  <c:v>-1.154901959985743</c:v>
                </c:pt>
                <c:pt idx="184">
                  <c:v>-1.0969100130080565</c:v>
                </c:pt>
                <c:pt idx="185">
                  <c:v>-1.0969100130080565</c:v>
                </c:pt>
                <c:pt idx="187">
                  <c:v>-1.0457574905606752</c:v>
                </c:pt>
                <c:pt idx="188">
                  <c:v>-1.0457574905606752</c:v>
                </c:pt>
                <c:pt idx="196">
                  <c:v>-0.6989700043360187</c:v>
                </c:pt>
                <c:pt idx="197">
                  <c:v>-0.6989700043360187</c:v>
                </c:pt>
                <c:pt idx="199">
                  <c:v>-0.5228787452803376</c:v>
                </c:pt>
                <c:pt idx="200">
                  <c:v>-0.5228787452803376</c:v>
                </c:pt>
                <c:pt idx="202">
                  <c:v>-0.3979400086720376</c:v>
                </c:pt>
                <c:pt idx="203">
                  <c:v>-0.3979400086720376</c:v>
                </c:pt>
                <c:pt idx="208">
                  <c:v>-0.2218487496163563</c:v>
                </c:pt>
                <c:pt idx="209">
                  <c:v>-0.2218487496163563</c:v>
                </c:pt>
                <c:pt idx="211">
                  <c:v>-0.15490195998574313</c:v>
                </c:pt>
                <c:pt idx="212">
                  <c:v>-0.15490195998574313</c:v>
                </c:pt>
                <c:pt idx="214">
                  <c:v>-0.09691001300805639</c:v>
                </c:pt>
                <c:pt idx="215">
                  <c:v>-0.09691001300805639</c:v>
                </c:pt>
                <c:pt idx="217">
                  <c:v>-0.04575749056067517</c:v>
                </c:pt>
                <c:pt idx="218">
                  <c:v>-0.04575749056067517</c:v>
                </c:pt>
                <c:pt idx="226">
                  <c:v>0.3010299956639812</c:v>
                </c:pt>
                <c:pt idx="227">
                  <c:v>0.3010299956639812</c:v>
                </c:pt>
                <c:pt idx="229">
                  <c:v>0.47712125471966244</c:v>
                </c:pt>
                <c:pt idx="230">
                  <c:v>0.47712125471966244</c:v>
                </c:pt>
                <c:pt idx="232">
                  <c:v>0.6020599913279624</c:v>
                </c:pt>
                <c:pt idx="233">
                  <c:v>0.6020599913279624</c:v>
                </c:pt>
                <c:pt idx="238">
                  <c:v>0.7781512503836437</c:v>
                </c:pt>
                <c:pt idx="239">
                  <c:v>0.7781512503836437</c:v>
                </c:pt>
                <c:pt idx="241">
                  <c:v>0.8450980400142569</c:v>
                </c:pt>
                <c:pt idx="242">
                  <c:v>0.8450980400142569</c:v>
                </c:pt>
                <c:pt idx="244">
                  <c:v>0.9030899869919435</c:v>
                </c:pt>
                <c:pt idx="245">
                  <c:v>0.9030899869919435</c:v>
                </c:pt>
                <c:pt idx="247">
                  <c:v>0.9542425094393249</c:v>
                </c:pt>
                <c:pt idx="248">
                  <c:v>0.9542425094393249</c:v>
                </c:pt>
                <c:pt idx="256">
                  <c:v>1.3010299956639813</c:v>
                </c:pt>
                <c:pt idx="257">
                  <c:v>1.3010299956639813</c:v>
                </c:pt>
                <c:pt idx="259">
                  <c:v>1.4771212547196624</c:v>
                </c:pt>
                <c:pt idx="260">
                  <c:v>1.4771212547196624</c:v>
                </c:pt>
                <c:pt idx="262">
                  <c:v>1.6020599913279623</c:v>
                </c:pt>
                <c:pt idx="263">
                  <c:v>1.6020599913279623</c:v>
                </c:pt>
                <c:pt idx="268">
                  <c:v>1.7781512503836436</c:v>
                </c:pt>
                <c:pt idx="269">
                  <c:v>1.7781512503836436</c:v>
                </c:pt>
                <c:pt idx="271">
                  <c:v>1.845098040014257</c:v>
                </c:pt>
                <c:pt idx="272">
                  <c:v>1.845098040014257</c:v>
                </c:pt>
                <c:pt idx="274">
                  <c:v>1.9030899869919435</c:v>
                </c:pt>
                <c:pt idx="275">
                  <c:v>1.9030899869919435</c:v>
                </c:pt>
                <c:pt idx="277">
                  <c:v>1.954242509439325</c:v>
                </c:pt>
                <c:pt idx="278">
                  <c:v>1.954242509439325</c:v>
                </c:pt>
              </c:numCache>
            </c:numRef>
          </c:yVal>
          <c:smooth val="0"/>
        </c:ser>
        <c:ser>
          <c:idx val="7"/>
          <c:order val="2"/>
          <c:tx>
            <c:strRef>
              <c:f>Graph_Data!$J$9</c:f>
              <c:strCache>
                <c:ptCount val="1"/>
                <c:pt idx="0">
                  <c:v>目盛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Graph_Data!$E$11:$E$292</c:f>
              <c:numCache>
                <c:ptCount val="282"/>
                <c:pt idx="0">
                  <c:v>145</c:v>
                </c:pt>
                <c:pt idx="1">
                  <c:v>145</c:v>
                </c:pt>
                <c:pt idx="2">
                  <c:v>145</c:v>
                </c:pt>
                <c:pt idx="3">
                  <c:v>145</c:v>
                </c:pt>
                <c:pt idx="4">
                  <c:v>145</c:v>
                </c:pt>
                <c:pt idx="5">
                  <c:v>145</c:v>
                </c:pt>
                <c:pt idx="6">
                  <c:v>145</c:v>
                </c:pt>
                <c:pt idx="7">
                  <c:v>145</c:v>
                </c:pt>
                <c:pt idx="8">
                  <c:v>145</c:v>
                </c:pt>
                <c:pt idx="9">
                  <c:v>145</c:v>
                </c:pt>
                <c:pt idx="10">
                  <c:v>145</c:v>
                </c:pt>
                <c:pt idx="11">
                  <c:v>145</c:v>
                </c:pt>
                <c:pt idx="12">
                  <c:v>145</c:v>
                </c:pt>
                <c:pt idx="13">
                  <c:v>145</c:v>
                </c:pt>
                <c:pt idx="15">
                  <c:v>260</c:v>
                </c:pt>
                <c:pt idx="16">
                  <c:v>260</c:v>
                </c:pt>
                <c:pt idx="17">
                  <c:v>260</c:v>
                </c:pt>
                <c:pt idx="18">
                  <c:v>260</c:v>
                </c:pt>
                <c:pt idx="19">
                  <c:v>260</c:v>
                </c:pt>
                <c:pt idx="20">
                  <c:v>260</c:v>
                </c:pt>
                <c:pt idx="21">
                  <c:v>260</c:v>
                </c:pt>
                <c:pt idx="22">
                  <c:v>260</c:v>
                </c:pt>
                <c:pt idx="23">
                  <c:v>260</c:v>
                </c:pt>
                <c:pt idx="24">
                  <c:v>260</c:v>
                </c:pt>
                <c:pt idx="25">
                  <c:v>260</c:v>
                </c:pt>
                <c:pt idx="26">
                  <c:v>260</c:v>
                </c:pt>
                <c:pt idx="27">
                  <c:v>260</c:v>
                </c:pt>
                <c:pt idx="28">
                  <c:v>260</c:v>
                </c:pt>
                <c:pt idx="30">
                  <c:v>373</c:v>
                </c:pt>
                <c:pt idx="31">
                  <c:v>373</c:v>
                </c:pt>
                <c:pt idx="32">
                  <c:v>373</c:v>
                </c:pt>
                <c:pt idx="33">
                  <c:v>373</c:v>
                </c:pt>
                <c:pt idx="34">
                  <c:v>373</c:v>
                </c:pt>
                <c:pt idx="35">
                  <c:v>373</c:v>
                </c:pt>
                <c:pt idx="36">
                  <c:v>373</c:v>
                </c:pt>
                <c:pt idx="37">
                  <c:v>373</c:v>
                </c:pt>
                <c:pt idx="38">
                  <c:v>373</c:v>
                </c:pt>
                <c:pt idx="39">
                  <c:v>373</c:v>
                </c:pt>
                <c:pt idx="40">
                  <c:v>373</c:v>
                </c:pt>
                <c:pt idx="41">
                  <c:v>373</c:v>
                </c:pt>
                <c:pt idx="42">
                  <c:v>373</c:v>
                </c:pt>
                <c:pt idx="43">
                  <c:v>373</c:v>
                </c:pt>
                <c:pt idx="45">
                  <c:v>442</c:v>
                </c:pt>
                <c:pt idx="46">
                  <c:v>442</c:v>
                </c:pt>
                <c:pt idx="47">
                  <c:v>442</c:v>
                </c:pt>
                <c:pt idx="48">
                  <c:v>442</c:v>
                </c:pt>
                <c:pt idx="49">
                  <c:v>442</c:v>
                </c:pt>
                <c:pt idx="50">
                  <c:v>442</c:v>
                </c:pt>
                <c:pt idx="51">
                  <c:v>442</c:v>
                </c:pt>
                <c:pt idx="52">
                  <c:v>442</c:v>
                </c:pt>
                <c:pt idx="53">
                  <c:v>442</c:v>
                </c:pt>
                <c:pt idx="54">
                  <c:v>442</c:v>
                </c:pt>
                <c:pt idx="55">
                  <c:v>442</c:v>
                </c:pt>
                <c:pt idx="56">
                  <c:v>442</c:v>
                </c:pt>
                <c:pt idx="57">
                  <c:v>442</c:v>
                </c:pt>
                <c:pt idx="58">
                  <c:v>442</c:v>
                </c:pt>
                <c:pt idx="60">
                  <c:v>576</c:v>
                </c:pt>
                <c:pt idx="61">
                  <c:v>576</c:v>
                </c:pt>
                <c:pt idx="62">
                  <c:v>576</c:v>
                </c:pt>
                <c:pt idx="63">
                  <c:v>576</c:v>
                </c:pt>
                <c:pt idx="64">
                  <c:v>576</c:v>
                </c:pt>
                <c:pt idx="65">
                  <c:v>576</c:v>
                </c:pt>
                <c:pt idx="66">
                  <c:v>576</c:v>
                </c:pt>
                <c:pt idx="67">
                  <c:v>576</c:v>
                </c:pt>
                <c:pt idx="68">
                  <c:v>576</c:v>
                </c:pt>
                <c:pt idx="69">
                  <c:v>576</c:v>
                </c:pt>
                <c:pt idx="70">
                  <c:v>576</c:v>
                </c:pt>
                <c:pt idx="71">
                  <c:v>576</c:v>
                </c:pt>
                <c:pt idx="72">
                  <c:v>576</c:v>
                </c:pt>
                <c:pt idx="73">
                  <c:v>576</c:v>
                </c:pt>
                <c:pt idx="75">
                  <c:v>623</c:v>
                </c:pt>
                <c:pt idx="76">
                  <c:v>623</c:v>
                </c:pt>
                <c:pt idx="77">
                  <c:v>623</c:v>
                </c:pt>
                <c:pt idx="78">
                  <c:v>623</c:v>
                </c:pt>
                <c:pt idx="79">
                  <c:v>623</c:v>
                </c:pt>
                <c:pt idx="80">
                  <c:v>623</c:v>
                </c:pt>
                <c:pt idx="81">
                  <c:v>623</c:v>
                </c:pt>
                <c:pt idx="82">
                  <c:v>623</c:v>
                </c:pt>
                <c:pt idx="83">
                  <c:v>623</c:v>
                </c:pt>
                <c:pt idx="84">
                  <c:v>623</c:v>
                </c:pt>
                <c:pt idx="85">
                  <c:v>623</c:v>
                </c:pt>
                <c:pt idx="86">
                  <c:v>623</c:v>
                </c:pt>
                <c:pt idx="87">
                  <c:v>623</c:v>
                </c:pt>
                <c:pt idx="88">
                  <c:v>623</c:v>
                </c:pt>
                <c:pt idx="90">
                  <c:v>743</c:v>
                </c:pt>
                <c:pt idx="91">
                  <c:v>743</c:v>
                </c:pt>
                <c:pt idx="92">
                  <c:v>743</c:v>
                </c:pt>
                <c:pt idx="93">
                  <c:v>743</c:v>
                </c:pt>
                <c:pt idx="94">
                  <c:v>743</c:v>
                </c:pt>
                <c:pt idx="95">
                  <c:v>743</c:v>
                </c:pt>
                <c:pt idx="96">
                  <c:v>743</c:v>
                </c:pt>
                <c:pt idx="97">
                  <c:v>743</c:v>
                </c:pt>
                <c:pt idx="98">
                  <c:v>743</c:v>
                </c:pt>
                <c:pt idx="99">
                  <c:v>743</c:v>
                </c:pt>
                <c:pt idx="100">
                  <c:v>743</c:v>
                </c:pt>
                <c:pt idx="101">
                  <c:v>743</c:v>
                </c:pt>
                <c:pt idx="102">
                  <c:v>743</c:v>
                </c:pt>
                <c:pt idx="103">
                  <c:v>743</c:v>
                </c:pt>
                <c:pt idx="105">
                  <c:v>820</c:v>
                </c:pt>
                <c:pt idx="106">
                  <c:v>820</c:v>
                </c:pt>
                <c:pt idx="107">
                  <c:v>820</c:v>
                </c:pt>
                <c:pt idx="108">
                  <c:v>820</c:v>
                </c:pt>
                <c:pt idx="109">
                  <c:v>820</c:v>
                </c:pt>
                <c:pt idx="110">
                  <c:v>820</c:v>
                </c:pt>
                <c:pt idx="111">
                  <c:v>820</c:v>
                </c:pt>
                <c:pt idx="112">
                  <c:v>820</c:v>
                </c:pt>
                <c:pt idx="113">
                  <c:v>820</c:v>
                </c:pt>
                <c:pt idx="114">
                  <c:v>820</c:v>
                </c:pt>
                <c:pt idx="115">
                  <c:v>820</c:v>
                </c:pt>
                <c:pt idx="116">
                  <c:v>820</c:v>
                </c:pt>
                <c:pt idx="117">
                  <c:v>820</c:v>
                </c:pt>
                <c:pt idx="118">
                  <c:v>820</c:v>
                </c:pt>
                <c:pt idx="120">
                  <c:v>883</c:v>
                </c:pt>
                <c:pt idx="121">
                  <c:v>883</c:v>
                </c:pt>
                <c:pt idx="122">
                  <c:v>883</c:v>
                </c:pt>
                <c:pt idx="123">
                  <c:v>883</c:v>
                </c:pt>
                <c:pt idx="124">
                  <c:v>883</c:v>
                </c:pt>
                <c:pt idx="125">
                  <c:v>883</c:v>
                </c:pt>
                <c:pt idx="126">
                  <c:v>883</c:v>
                </c:pt>
                <c:pt idx="127">
                  <c:v>883</c:v>
                </c:pt>
                <c:pt idx="128">
                  <c:v>883</c:v>
                </c:pt>
                <c:pt idx="129">
                  <c:v>883</c:v>
                </c:pt>
                <c:pt idx="130">
                  <c:v>883</c:v>
                </c:pt>
                <c:pt idx="131">
                  <c:v>883</c:v>
                </c:pt>
                <c:pt idx="132">
                  <c:v>883</c:v>
                </c:pt>
                <c:pt idx="133">
                  <c:v>883</c:v>
                </c:pt>
                <c:pt idx="135">
                  <c:v>967</c:v>
                </c:pt>
                <c:pt idx="136">
                  <c:v>967</c:v>
                </c:pt>
                <c:pt idx="137">
                  <c:v>967</c:v>
                </c:pt>
                <c:pt idx="138">
                  <c:v>967</c:v>
                </c:pt>
                <c:pt idx="139">
                  <c:v>967</c:v>
                </c:pt>
                <c:pt idx="140">
                  <c:v>967</c:v>
                </c:pt>
                <c:pt idx="141">
                  <c:v>967</c:v>
                </c:pt>
                <c:pt idx="142">
                  <c:v>967</c:v>
                </c:pt>
                <c:pt idx="143">
                  <c:v>967</c:v>
                </c:pt>
                <c:pt idx="144">
                  <c:v>967</c:v>
                </c:pt>
                <c:pt idx="145">
                  <c:v>967</c:v>
                </c:pt>
                <c:pt idx="146">
                  <c:v>967</c:v>
                </c:pt>
                <c:pt idx="147">
                  <c:v>967</c:v>
                </c:pt>
                <c:pt idx="148">
                  <c:v>967</c:v>
                </c:pt>
                <c:pt idx="150">
                  <c:v>0</c:v>
                </c:pt>
                <c:pt idx="151">
                  <c:v>13880</c:v>
                </c:pt>
                <c:pt idx="153">
                  <c:v>13586.826114414815</c:v>
                </c:pt>
                <c:pt idx="154">
                  <c:v>13586.826114414815</c:v>
                </c:pt>
                <c:pt idx="156">
                  <c:v>0</c:v>
                </c:pt>
                <c:pt idx="157">
                  <c:v>1116</c:v>
                </c:pt>
                <c:pt idx="158">
                  <c:v>13880</c:v>
                </c:pt>
                <c:pt idx="160">
                  <c:v>0</c:v>
                </c:pt>
                <c:pt idx="161">
                  <c:v>13880</c:v>
                </c:pt>
                <c:pt idx="163">
                  <c:v>0</c:v>
                </c:pt>
                <c:pt idx="164">
                  <c:v>13880</c:v>
                </c:pt>
                <c:pt idx="166">
                  <c:v>0</c:v>
                </c:pt>
                <c:pt idx="167">
                  <c:v>13880</c:v>
                </c:pt>
                <c:pt idx="169">
                  <c:v>0</c:v>
                </c:pt>
                <c:pt idx="170">
                  <c:v>13880</c:v>
                </c:pt>
                <c:pt idx="172">
                  <c:v>0</c:v>
                </c:pt>
                <c:pt idx="173">
                  <c:v>13880</c:v>
                </c:pt>
                <c:pt idx="175">
                  <c:v>0</c:v>
                </c:pt>
                <c:pt idx="176">
                  <c:v>13880</c:v>
                </c:pt>
                <c:pt idx="178">
                  <c:v>0</c:v>
                </c:pt>
                <c:pt idx="179">
                  <c:v>13880</c:v>
                </c:pt>
                <c:pt idx="181">
                  <c:v>0</c:v>
                </c:pt>
                <c:pt idx="182">
                  <c:v>13880</c:v>
                </c:pt>
                <c:pt idx="184">
                  <c:v>0</c:v>
                </c:pt>
                <c:pt idx="185">
                  <c:v>13880</c:v>
                </c:pt>
                <c:pt idx="187">
                  <c:v>0</c:v>
                </c:pt>
                <c:pt idx="188">
                  <c:v>13880</c:v>
                </c:pt>
                <c:pt idx="190">
                  <c:v>0</c:v>
                </c:pt>
                <c:pt idx="191">
                  <c:v>13880</c:v>
                </c:pt>
                <c:pt idx="193">
                  <c:v>0</c:v>
                </c:pt>
                <c:pt idx="194">
                  <c:v>13880</c:v>
                </c:pt>
                <c:pt idx="196">
                  <c:v>0</c:v>
                </c:pt>
                <c:pt idx="197">
                  <c:v>13880</c:v>
                </c:pt>
                <c:pt idx="199">
                  <c:v>0</c:v>
                </c:pt>
                <c:pt idx="200">
                  <c:v>13880</c:v>
                </c:pt>
                <c:pt idx="202">
                  <c:v>0</c:v>
                </c:pt>
                <c:pt idx="203">
                  <c:v>13880</c:v>
                </c:pt>
                <c:pt idx="205">
                  <c:v>0</c:v>
                </c:pt>
                <c:pt idx="206">
                  <c:v>13880</c:v>
                </c:pt>
                <c:pt idx="208">
                  <c:v>0</c:v>
                </c:pt>
                <c:pt idx="209">
                  <c:v>13880</c:v>
                </c:pt>
                <c:pt idx="211">
                  <c:v>0</c:v>
                </c:pt>
                <c:pt idx="212">
                  <c:v>13880</c:v>
                </c:pt>
                <c:pt idx="214">
                  <c:v>0</c:v>
                </c:pt>
                <c:pt idx="215">
                  <c:v>13880</c:v>
                </c:pt>
                <c:pt idx="217">
                  <c:v>0</c:v>
                </c:pt>
                <c:pt idx="218">
                  <c:v>13880</c:v>
                </c:pt>
                <c:pt idx="220">
                  <c:v>0</c:v>
                </c:pt>
                <c:pt idx="221">
                  <c:v>13880</c:v>
                </c:pt>
                <c:pt idx="223">
                  <c:v>0</c:v>
                </c:pt>
                <c:pt idx="224">
                  <c:v>13880</c:v>
                </c:pt>
                <c:pt idx="226">
                  <c:v>0</c:v>
                </c:pt>
                <c:pt idx="227">
                  <c:v>13880</c:v>
                </c:pt>
                <c:pt idx="229">
                  <c:v>0</c:v>
                </c:pt>
                <c:pt idx="230">
                  <c:v>13880</c:v>
                </c:pt>
                <c:pt idx="232">
                  <c:v>0</c:v>
                </c:pt>
                <c:pt idx="233">
                  <c:v>13880</c:v>
                </c:pt>
                <c:pt idx="235">
                  <c:v>0</c:v>
                </c:pt>
                <c:pt idx="236">
                  <c:v>13880</c:v>
                </c:pt>
                <c:pt idx="238">
                  <c:v>0</c:v>
                </c:pt>
                <c:pt idx="239">
                  <c:v>13880</c:v>
                </c:pt>
                <c:pt idx="241">
                  <c:v>0</c:v>
                </c:pt>
                <c:pt idx="242">
                  <c:v>13880</c:v>
                </c:pt>
                <c:pt idx="244">
                  <c:v>0</c:v>
                </c:pt>
                <c:pt idx="245">
                  <c:v>13880</c:v>
                </c:pt>
                <c:pt idx="247">
                  <c:v>0</c:v>
                </c:pt>
                <c:pt idx="248">
                  <c:v>13880</c:v>
                </c:pt>
                <c:pt idx="250">
                  <c:v>0</c:v>
                </c:pt>
                <c:pt idx="251">
                  <c:v>13880</c:v>
                </c:pt>
                <c:pt idx="253">
                  <c:v>0</c:v>
                </c:pt>
                <c:pt idx="254">
                  <c:v>13880</c:v>
                </c:pt>
                <c:pt idx="256">
                  <c:v>0</c:v>
                </c:pt>
                <c:pt idx="257">
                  <c:v>13880</c:v>
                </c:pt>
                <c:pt idx="259">
                  <c:v>0</c:v>
                </c:pt>
                <c:pt idx="260">
                  <c:v>13880</c:v>
                </c:pt>
                <c:pt idx="262">
                  <c:v>0</c:v>
                </c:pt>
                <c:pt idx="263">
                  <c:v>13880</c:v>
                </c:pt>
                <c:pt idx="265">
                  <c:v>0</c:v>
                </c:pt>
                <c:pt idx="266">
                  <c:v>13880</c:v>
                </c:pt>
                <c:pt idx="268">
                  <c:v>0</c:v>
                </c:pt>
                <c:pt idx="269">
                  <c:v>13880</c:v>
                </c:pt>
                <c:pt idx="271">
                  <c:v>0</c:v>
                </c:pt>
                <c:pt idx="272">
                  <c:v>13880</c:v>
                </c:pt>
                <c:pt idx="274">
                  <c:v>0</c:v>
                </c:pt>
                <c:pt idx="275">
                  <c:v>13880</c:v>
                </c:pt>
                <c:pt idx="277">
                  <c:v>0</c:v>
                </c:pt>
                <c:pt idx="278">
                  <c:v>13880</c:v>
                </c:pt>
                <c:pt idx="280">
                  <c:v>0</c:v>
                </c:pt>
                <c:pt idx="281">
                  <c:v>13880</c:v>
                </c:pt>
              </c:numCache>
            </c:numRef>
          </c:xVal>
          <c:yVal>
            <c:numRef>
              <c:f>Graph_Data!$J$11:$J$292</c:f>
              <c:numCache>
                <c:ptCount val="282"/>
                <c:pt idx="160">
                  <c:v>-2</c:v>
                </c:pt>
                <c:pt idx="161">
                  <c:v>-2</c:v>
                </c:pt>
                <c:pt idx="175">
                  <c:v>-1.3010299956639813</c:v>
                </c:pt>
                <c:pt idx="176">
                  <c:v>-1.3010299956639813</c:v>
                </c:pt>
                <c:pt idx="190">
                  <c:v>-1</c:v>
                </c:pt>
                <c:pt idx="191">
                  <c:v>-1</c:v>
                </c:pt>
                <c:pt idx="205">
                  <c:v>-0.3010299956639812</c:v>
                </c:pt>
                <c:pt idx="206">
                  <c:v>-0.3010299956639812</c:v>
                </c:pt>
                <c:pt idx="220">
                  <c:v>0</c:v>
                </c:pt>
                <c:pt idx="221">
                  <c:v>0</c:v>
                </c:pt>
                <c:pt idx="235">
                  <c:v>0.6989700043360189</c:v>
                </c:pt>
                <c:pt idx="236">
                  <c:v>0.6989700043360189</c:v>
                </c:pt>
                <c:pt idx="250">
                  <c:v>1</c:v>
                </c:pt>
                <c:pt idx="251">
                  <c:v>1</c:v>
                </c:pt>
                <c:pt idx="265">
                  <c:v>1.6989700043360187</c:v>
                </c:pt>
                <c:pt idx="266">
                  <c:v>1.6989700043360187</c:v>
                </c:pt>
                <c:pt idx="280">
                  <c:v>2</c:v>
                </c:pt>
                <c:pt idx="281">
                  <c:v>2</c:v>
                </c:pt>
              </c:numCache>
            </c:numRef>
          </c:yVal>
          <c:smooth val="0"/>
        </c:ser>
        <c:ser>
          <c:idx val="13"/>
          <c:order val="3"/>
          <c:tx>
            <c:strRef>
              <c:f>Graph_Data!$H$7</c:f>
              <c:strCache>
                <c:ptCount val="1"/>
                <c:pt idx="0">
                  <c:v>周辺_1m近似直線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Graph_Data!$E$11:$E$292</c:f>
              <c:numCache>
                <c:ptCount val="282"/>
                <c:pt idx="0">
                  <c:v>145</c:v>
                </c:pt>
                <c:pt idx="1">
                  <c:v>145</c:v>
                </c:pt>
                <c:pt idx="2">
                  <c:v>145</c:v>
                </c:pt>
                <c:pt idx="3">
                  <c:v>145</c:v>
                </c:pt>
                <c:pt idx="4">
                  <c:v>145</c:v>
                </c:pt>
                <c:pt idx="5">
                  <c:v>145</c:v>
                </c:pt>
                <c:pt idx="6">
                  <c:v>145</c:v>
                </c:pt>
                <c:pt idx="7">
                  <c:v>145</c:v>
                </c:pt>
                <c:pt idx="8">
                  <c:v>145</c:v>
                </c:pt>
                <c:pt idx="9">
                  <c:v>145</c:v>
                </c:pt>
                <c:pt idx="10">
                  <c:v>145</c:v>
                </c:pt>
                <c:pt idx="11">
                  <c:v>145</c:v>
                </c:pt>
                <c:pt idx="12">
                  <c:v>145</c:v>
                </c:pt>
                <c:pt idx="13">
                  <c:v>145</c:v>
                </c:pt>
                <c:pt idx="15">
                  <c:v>260</c:v>
                </c:pt>
                <c:pt idx="16">
                  <c:v>260</c:v>
                </c:pt>
                <c:pt idx="17">
                  <c:v>260</c:v>
                </c:pt>
                <c:pt idx="18">
                  <c:v>260</c:v>
                </c:pt>
                <c:pt idx="19">
                  <c:v>260</c:v>
                </c:pt>
                <c:pt idx="20">
                  <c:v>260</c:v>
                </c:pt>
                <c:pt idx="21">
                  <c:v>260</c:v>
                </c:pt>
                <c:pt idx="22">
                  <c:v>260</c:v>
                </c:pt>
                <c:pt idx="23">
                  <c:v>260</c:v>
                </c:pt>
                <c:pt idx="24">
                  <c:v>260</c:v>
                </c:pt>
                <c:pt idx="25">
                  <c:v>260</c:v>
                </c:pt>
                <c:pt idx="26">
                  <c:v>260</c:v>
                </c:pt>
                <c:pt idx="27">
                  <c:v>260</c:v>
                </c:pt>
                <c:pt idx="28">
                  <c:v>260</c:v>
                </c:pt>
                <c:pt idx="30">
                  <c:v>373</c:v>
                </c:pt>
                <c:pt idx="31">
                  <c:v>373</c:v>
                </c:pt>
                <c:pt idx="32">
                  <c:v>373</c:v>
                </c:pt>
                <c:pt idx="33">
                  <c:v>373</c:v>
                </c:pt>
                <c:pt idx="34">
                  <c:v>373</c:v>
                </c:pt>
                <c:pt idx="35">
                  <c:v>373</c:v>
                </c:pt>
                <c:pt idx="36">
                  <c:v>373</c:v>
                </c:pt>
                <c:pt idx="37">
                  <c:v>373</c:v>
                </c:pt>
                <c:pt idx="38">
                  <c:v>373</c:v>
                </c:pt>
                <c:pt idx="39">
                  <c:v>373</c:v>
                </c:pt>
                <c:pt idx="40">
                  <c:v>373</c:v>
                </c:pt>
                <c:pt idx="41">
                  <c:v>373</c:v>
                </c:pt>
                <c:pt idx="42">
                  <c:v>373</c:v>
                </c:pt>
                <c:pt idx="43">
                  <c:v>373</c:v>
                </c:pt>
                <c:pt idx="45">
                  <c:v>442</c:v>
                </c:pt>
                <c:pt idx="46">
                  <c:v>442</c:v>
                </c:pt>
                <c:pt idx="47">
                  <c:v>442</c:v>
                </c:pt>
                <c:pt idx="48">
                  <c:v>442</c:v>
                </c:pt>
                <c:pt idx="49">
                  <c:v>442</c:v>
                </c:pt>
                <c:pt idx="50">
                  <c:v>442</c:v>
                </c:pt>
                <c:pt idx="51">
                  <c:v>442</c:v>
                </c:pt>
                <c:pt idx="52">
                  <c:v>442</c:v>
                </c:pt>
                <c:pt idx="53">
                  <c:v>442</c:v>
                </c:pt>
                <c:pt idx="54">
                  <c:v>442</c:v>
                </c:pt>
                <c:pt idx="55">
                  <c:v>442</c:v>
                </c:pt>
                <c:pt idx="56">
                  <c:v>442</c:v>
                </c:pt>
                <c:pt idx="57">
                  <c:v>442</c:v>
                </c:pt>
                <c:pt idx="58">
                  <c:v>442</c:v>
                </c:pt>
                <c:pt idx="60">
                  <c:v>576</c:v>
                </c:pt>
                <c:pt idx="61">
                  <c:v>576</c:v>
                </c:pt>
                <c:pt idx="62">
                  <c:v>576</c:v>
                </c:pt>
                <c:pt idx="63">
                  <c:v>576</c:v>
                </c:pt>
                <c:pt idx="64">
                  <c:v>576</c:v>
                </c:pt>
                <c:pt idx="65">
                  <c:v>576</c:v>
                </c:pt>
                <c:pt idx="66">
                  <c:v>576</c:v>
                </c:pt>
                <c:pt idx="67">
                  <c:v>576</c:v>
                </c:pt>
                <c:pt idx="68">
                  <c:v>576</c:v>
                </c:pt>
                <c:pt idx="69">
                  <c:v>576</c:v>
                </c:pt>
                <c:pt idx="70">
                  <c:v>576</c:v>
                </c:pt>
                <c:pt idx="71">
                  <c:v>576</c:v>
                </c:pt>
                <c:pt idx="72">
                  <c:v>576</c:v>
                </c:pt>
                <c:pt idx="73">
                  <c:v>576</c:v>
                </c:pt>
                <c:pt idx="75">
                  <c:v>623</c:v>
                </c:pt>
                <c:pt idx="76">
                  <c:v>623</c:v>
                </c:pt>
                <c:pt idx="77">
                  <c:v>623</c:v>
                </c:pt>
                <c:pt idx="78">
                  <c:v>623</c:v>
                </c:pt>
                <c:pt idx="79">
                  <c:v>623</c:v>
                </c:pt>
                <c:pt idx="80">
                  <c:v>623</c:v>
                </c:pt>
                <c:pt idx="81">
                  <c:v>623</c:v>
                </c:pt>
                <c:pt idx="82">
                  <c:v>623</c:v>
                </c:pt>
                <c:pt idx="83">
                  <c:v>623</c:v>
                </c:pt>
                <c:pt idx="84">
                  <c:v>623</c:v>
                </c:pt>
                <c:pt idx="85">
                  <c:v>623</c:v>
                </c:pt>
                <c:pt idx="86">
                  <c:v>623</c:v>
                </c:pt>
                <c:pt idx="87">
                  <c:v>623</c:v>
                </c:pt>
                <c:pt idx="88">
                  <c:v>623</c:v>
                </c:pt>
                <c:pt idx="90">
                  <c:v>743</c:v>
                </c:pt>
                <c:pt idx="91">
                  <c:v>743</c:v>
                </c:pt>
                <c:pt idx="92">
                  <c:v>743</c:v>
                </c:pt>
                <c:pt idx="93">
                  <c:v>743</c:v>
                </c:pt>
                <c:pt idx="94">
                  <c:v>743</c:v>
                </c:pt>
                <c:pt idx="95">
                  <c:v>743</c:v>
                </c:pt>
                <c:pt idx="96">
                  <c:v>743</c:v>
                </c:pt>
                <c:pt idx="97">
                  <c:v>743</c:v>
                </c:pt>
                <c:pt idx="98">
                  <c:v>743</c:v>
                </c:pt>
                <c:pt idx="99">
                  <c:v>743</c:v>
                </c:pt>
                <c:pt idx="100">
                  <c:v>743</c:v>
                </c:pt>
                <c:pt idx="101">
                  <c:v>743</c:v>
                </c:pt>
                <c:pt idx="102">
                  <c:v>743</c:v>
                </c:pt>
                <c:pt idx="103">
                  <c:v>743</c:v>
                </c:pt>
                <c:pt idx="105">
                  <c:v>820</c:v>
                </c:pt>
                <c:pt idx="106">
                  <c:v>820</c:v>
                </c:pt>
                <c:pt idx="107">
                  <c:v>820</c:v>
                </c:pt>
                <c:pt idx="108">
                  <c:v>820</c:v>
                </c:pt>
                <c:pt idx="109">
                  <c:v>820</c:v>
                </c:pt>
                <c:pt idx="110">
                  <c:v>820</c:v>
                </c:pt>
                <c:pt idx="111">
                  <c:v>820</c:v>
                </c:pt>
                <c:pt idx="112">
                  <c:v>820</c:v>
                </c:pt>
                <c:pt idx="113">
                  <c:v>820</c:v>
                </c:pt>
                <c:pt idx="114">
                  <c:v>820</c:v>
                </c:pt>
                <c:pt idx="115">
                  <c:v>820</c:v>
                </c:pt>
                <c:pt idx="116">
                  <c:v>820</c:v>
                </c:pt>
                <c:pt idx="117">
                  <c:v>820</c:v>
                </c:pt>
                <c:pt idx="118">
                  <c:v>820</c:v>
                </c:pt>
                <c:pt idx="120">
                  <c:v>883</c:v>
                </c:pt>
                <c:pt idx="121">
                  <c:v>883</c:v>
                </c:pt>
                <c:pt idx="122">
                  <c:v>883</c:v>
                </c:pt>
                <c:pt idx="123">
                  <c:v>883</c:v>
                </c:pt>
                <c:pt idx="124">
                  <c:v>883</c:v>
                </c:pt>
                <c:pt idx="125">
                  <c:v>883</c:v>
                </c:pt>
                <c:pt idx="126">
                  <c:v>883</c:v>
                </c:pt>
                <c:pt idx="127">
                  <c:v>883</c:v>
                </c:pt>
                <c:pt idx="128">
                  <c:v>883</c:v>
                </c:pt>
                <c:pt idx="129">
                  <c:v>883</c:v>
                </c:pt>
                <c:pt idx="130">
                  <c:v>883</c:v>
                </c:pt>
                <c:pt idx="131">
                  <c:v>883</c:v>
                </c:pt>
                <c:pt idx="132">
                  <c:v>883</c:v>
                </c:pt>
                <c:pt idx="133">
                  <c:v>883</c:v>
                </c:pt>
                <c:pt idx="135">
                  <c:v>967</c:v>
                </c:pt>
                <c:pt idx="136">
                  <c:v>967</c:v>
                </c:pt>
                <c:pt idx="137">
                  <c:v>967</c:v>
                </c:pt>
                <c:pt idx="138">
                  <c:v>967</c:v>
                </c:pt>
                <c:pt idx="139">
                  <c:v>967</c:v>
                </c:pt>
                <c:pt idx="140">
                  <c:v>967</c:v>
                </c:pt>
                <c:pt idx="141">
                  <c:v>967</c:v>
                </c:pt>
                <c:pt idx="142">
                  <c:v>967</c:v>
                </c:pt>
                <c:pt idx="143">
                  <c:v>967</c:v>
                </c:pt>
                <c:pt idx="144">
                  <c:v>967</c:v>
                </c:pt>
                <c:pt idx="145">
                  <c:v>967</c:v>
                </c:pt>
                <c:pt idx="146">
                  <c:v>967</c:v>
                </c:pt>
                <c:pt idx="147">
                  <c:v>967</c:v>
                </c:pt>
                <c:pt idx="148">
                  <c:v>967</c:v>
                </c:pt>
                <c:pt idx="150">
                  <c:v>0</c:v>
                </c:pt>
                <c:pt idx="151">
                  <c:v>13880</c:v>
                </c:pt>
                <c:pt idx="153">
                  <c:v>13586.826114414815</c:v>
                </c:pt>
                <c:pt idx="154">
                  <c:v>13586.826114414815</c:v>
                </c:pt>
                <c:pt idx="156">
                  <c:v>0</c:v>
                </c:pt>
                <c:pt idx="157">
                  <c:v>1116</c:v>
                </c:pt>
                <c:pt idx="158">
                  <c:v>13880</c:v>
                </c:pt>
                <c:pt idx="160">
                  <c:v>0</c:v>
                </c:pt>
                <c:pt idx="161">
                  <c:v>13880</c:v>
                </c:pt>
                <c:pt idx="163">
                  <c:v>0</c:v>
                </c:pt>
                <c:pt idx="164">
                  <c:v>13880</c:v>
                </c:pt>
                <c:pt idx="166">
                  <c:v>0</c:v>
                </c:pt>
                <c:pt idx="167">
                  <c:v>13880</c:v>
                </c:pt>
                <c:pt idx="169">
                  <c:v>0</c:v>
                </c:pt>
                <c:pt idx="170">
                  <c:v>13880</c:v>
                </c:pt>
                <c:pt idx="172">
                  <c:v>0</c:v>
                </c:pt>
                <c:pt idx="173">
                  <c:v>13880</c:v>
                </c:pt>
                <c:pt idx="175">
                  <c:v>0</c:v>
                </c:pt>
                <c:pt idx="176">
                  <c:v>13880</c:v>
                </c:pt>
                <c:pt idx="178">
                  <c:v>0</c:v>
                </c:pt>
                <c:pt idx="179">
                  <c:v>13880</c:v>
                </c:pt>
                <c:pt idx="181">
                  <c:v>0</c:v>
                </c:pt>
                <c:pt idx="182">
                  <c:v>13880</c:v>
                </c:pt>
                <c:pt idx="184">
                  <c:v>0</c:v>
                </c:pt>
                <c:pt idx="185">
                  <c:v>13880</c:v>
                </c:pt>
                <c:pt idx="187">
                  <c:v>0</c:v>
                </c:pt>
                <c:pt idx="188">
                  <c:v>13880</c:v>
                </c:pt>
                <c:pt idx="190">
                  <c:v>0</c:v>
                </c:pt>
                <c:pt idx="191">
                  <c:v>13880</c:v>
                </c:pt>
                <c:pt idx="193">
                  <c:v>0</c:v>
                </c:pt>
                <c:pt idx="194">
                  <c:v>13880</c:v>
                </c:pt>
                <c:pt idx="196">
                  <c:v>0</c:v>
                </c:pt>
                <c:pt idx="197">
                  <c:v>13880</c:v>
                </c:pt>
                <c:pt idx="199">
                  <c:v>0</c:v>
                </c:pt>
                <c:pt idx="200">
                  <c:v>13880</c:v>
                </c:pt>
                <c:pt idx="202">
                  <c:v>0</c:v>
                </c:pt>
                <c:pt idx="203">
                  <c:v>13880</c:v>
                </c:pt>
                <c:pt idx="205">
                  <c:v>0</c:v>
                </c:pt>
                <c:pt idx="206">
                  <c:v>13880</c:v>
                </c:pt>
                <c:pt idx="208">
                  <c:v>0</c:v>
                </c:pt>
                <c:pt idx="209">
                  <c:v>13880</c:v>
                </c:pt>
                <c:pt idx="211">
                  <c:v>0</c:v>
                </c:pt>
                <c:pt idx="212">
                  <c:v>13880</c:v>
                </c:pt>
                <c:pt idx="214">
                  <c:v>0</c:v>
                </c:pt>
                <c:pt idx="215">
                  <c:v>13880</c:v>
                </c:pt>
                <c:pt idx="217">
                  <c:v>0</c:v>
                </c:pt>
                <c:pt idx="218">
                  <c:v>13880</c:v>
                </c:pt>
                <c:pt idx="220">
                  <c:v>0</c:v>
                </c:pt>
                <c:pt idx="221">
                  <c:v>13880</c:v>
                </c:pt>
                <c:pt idx="223">
                  <c:v>0</c:v>
                </c:pt>
                <c:pt idx="224">
                  <c:v>13880</c:v>
                </c:pt>
                <c:pt idx="226">
                  <c:v>0</c:v>
                </c:pt>
                <c:pt idx="227">
                  <c:v>13880</c:v>
                </c:pt>
                <c:pt idx="229">
                  <c:v>0</c:v>
                </c:pt>
                <c:pt idx="230">
                  <c:v>13880</c:v>
                </c:pt>
                <c:pt idx="232">
                  <c:v>0</c:v>
                </c:pt>
                <c:pt idx="233">
                  <c:v>13880</c:v>
                </c:pt>
                <c:pt idx="235">
                  <c:v>0</c:v>
                </c:pt>
                <c:pt idx="236">
                  <c:v>13880</c:v>
                </c:pt>
                <c:pt idx="238">
                  <c:v>0</c:v>
                </c:pt>
                <c:pt idx="239">
                  <c:v>13880</c:v>
                </c:pt>
                <c:pt idx="241">
                  <c:v>0</c:v>
                </c:pt>
                <c:pt idx="242">
                  <c:v>13880</c:v>
                </c:pt>
                <c:pt idx="244">
                  <c:v>0</c:v>
                </c:pt>
                <c:pt idx="245">
                  <c:v>13880</c:v>
                </c:pt>
                <c:pt idx="247">
                  <c:v>0</c:v>
                </c:pt>
                <c:pt idx="248">
                  <c:v>13880</c:v>
                </c:pt>
                <c:pt idx="250">
                  <c:v>0</c:v>
                </c:pt>
                <c:pt idx="251">
                  <c:v>13880</c:v>
                </c:pt>
                <c:pt idx="253">
                  <c:v>0</c:v>
                </c:pt>
                <c:pt idx="254">
                  <c:v>13880</c:v>
                </c:pt>
                <c:pt idx="256">
                  <c:v>0</c:v>
                </c:pt>
                <c:pt idx="257">
                  <c:v>13880</c:v>
                </c:pt>
                <c:pt idx="259">
                  <c:v>0</c:v>
                </c:pt>
                <c:pt idx="260">
                  <c:v>13880</c:v>
                </c:pt>
                <c:pt idx="262">
                  <c:v>0</c:v>
                </c:pt>
                <c:pt idx="263">
                  <c:v>13880</c:v>
                </c:pt>
                <c:pt idx="265">
                  <c:v>0</c:v>
                </c:pt>
                <c:pt idx="266">
                  <c:v>13880</c:v>
                </c:pt>
                <c:pt idx="268">
                  <c:v>0</c:v>
                </c:pt>
                <c:pt idx="269">
                  <c:v>13880</c:v>
                </c:pt>
                <c:pt idx="271">
                  <c:v>0</c:v>
                </c:pt>
                <c:pt idx="272">
                  <c:v>13880</c:v>
                </c:pt>
                <c:pt idx="274">
                  <c:v>0</c:v>
                </c:pt>
                <c:pt idx="275">
                  <c:v>13880</c:v>
                </c:pt>
                <c:pt idx="277">
                  <c:v>0</c:v>
                </c:pt>
                <c:pt idx="278">
                  <c:v>13880</c:v>
                </c:pt>
                <c:pt idx="280">
                  <c:v>0</c:v>
                </c:pt>
                <c:pt idx="281">
                  <c:v>13880</c:v>
                </c:pt>
              </c:numCache>
            </c:numRef>
          </c:xVal>
          <c:yVal>
            <c:numRef>
              <c:f>Graph_Data!$H$11:$H$292</c:f>
              <c:numCache>
                <c:ptCount val="282"/>
                <c:pt idx="150">
                  <c:v>1.2799128314047081</c:v>
                </c:pt>
                <c:pt idx="151">
                  <c:v>-1.3567210769152651</c:v>
                </c:pt>
              </c:numCache>
            </c:numRef>
          </c:yVal>
          <c:smooth val="0"/>
        </c:ser>
        <c:ser>
          <c:idx val="14"/>
          <c:order val="4"/>
          <c:tx>
            <c:strRef>
              <c:f>Graph_Data!$K$9</c:f>
              <c:strCache>
                <c:ptCount val="1"/>
                <c:pt idx="0">
                  <c:v>補助目盛1.5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Graph_Data!$E$11:$E$292</c:f>
              <c:numCache>
                <c:ptCount val="282"/>
                <c:pt idx="0">
                  <c:v>145</c:v>
                </c:pt>
                <c:pt idx="1">
                  <c:v>145</c:v>
                </c:pt>
                <c:pt idx="2">
                  <c:v>145</c:v>
                </c:pt>
                <c:pt idx="3">
                  <c:v>145</c:v>
                </c:pt>
                <c:pt idx="4">
                  <c:v>145</c:v>
                </c:pt>
                <c:pt idx="5">
                  <c:v>145</c:v>
                </c:pt>
                <c:pt idx="6">
                  <c:v>145</c:v>
                </c:pt>
                <c:pt idx="7">
                  <c:v>145</c:v>
                </c:pt>
                <c:pt idx="8">
                  <c:v>145</c:v>
                </c:pt>
                <c:pt idx="9">
                  <c:v>145</c:v>
                </c:pt>
                <c:pt idx="10">
                  <c:v>145</c:v>
                </c:pt>
                <c:pt idx="11">
                  <c:v>145</c:v>
                </c:pt>
                <c:pt idx="12">
                  <c:v>145</c:v>
                </c:pt>
                <c:pt idx="13">
                  <c:v>145</c:v>
                </c:pt>
                <c:pt idx="15">
                  <c:v>260</c:v>
                </c:pt>
                <c:pt idx="16">
                  <c:v>260</c:v>
                </c:pt>
                <c:pt idx="17">
                  <c:v>260</c:v>
                </c:pt>
                <c:pt idx="18">
                  <c:v>260</c:v>
                </c:pt>
                <c:pt idx="19">
                  <c:v>260</c:v>
                </c:pt>
                <c:pt idx="20">
                  <c:v>260</c:v>
                </c:pt>
                <c:pt idx="21">
                  <c:v>260</c:v>
                </c:pt>
                <c:pt idx="22">
                  <c:v>260</c:v>
                </c:pt>
                <c:pt idx="23">
                  <c:v>260</c:v>
                </c:pt>
                <c:pt idx="24">
                  <c:v>260</c:v>
                </c:pt>
                <c:pt idx="25">
                  <c:v>260</c:v>
                </c:pt>
                <c:pt idx="26">
                  <c:v>260</c:v>
                </c:pt>
                <c:pt idx="27">
                  <c:v>260</c:v>
                </c:pt>
                <c:pt idx="28">
                  <c:v>260</c:v>
                </c:pt>
                <c:pt idx="30">
                  <c:v>373</c:v>
                </c:pt>
                <c:pt idx="31">
                  <c:v>373</c:v>
                </c:pt>
                <c:pt idx="32">
                  <c:v>373</c:v>
                </c:pt>
                <c:pt idx="33">
                  <c:v>373</c:v>
                </c:pt>
                <c:pt idx="34">
                  <c:v>373</c:v>
                </c:pt>
                <c:pt idx="35">
                  <c:v>373</c:v>
                </c:pt>
                <c:pt idx="36">
                  <c:v>373</c:v>
                </c:pt>
                <c:pt idx="37">
                  <c:v>373</c:v>
                </c:pt>
                <c:pt idx="38">
                  <c:v>373</c:v>
                </c:pt>
                <c:pt idx="39">
                  <c:v>373</c:v>
                </c:pt>
                <c:pt idx="40">
                  <c:v>373</c:v>
                </c:pt>
                <c:pt idx="41">
                  <c:v>373</c:v>
                </c:pt>
                <c:pt idx="42">
                  <c:v>373</c:v>
                </c:pt>
                <c:pt idx="43">
                  <c:v>373</c:v>
                </c:pt>
                <c:pt idx="45">
                  <c:v>442</c:v>
                </c:pt>
                <c:pt idx="46">
                  <c:v>442</c:v>
                </c:pt>
                <c:pt idx="47">
                  <c:v>442</c:v>
                </c:pt>
                <c:pt idx="48">
                  <c:v>442</c:v>
                </c:pt>
                <c:pt idx="49">
                  <c:v>442</c:v>
                </c:pt>
                <c:pt idx="50">
                  <c:v>442</c:v>
                </c:pt>
                <c:pt idx="51">
                  <c:v>442</c:v>
                </c:pt>
                <c:pt idx="52">
                  <c:v>442</c:v>
                </c:pt>
                <c:pt idx="53">
                  <c:v>442</c:v>
                </c:pt>
                <c:pt idx="54">
                  <c:v>442</c:v>
                </c:pt>
                <c:pt idx="55">
                  <c:v>442</c:v>
                </c:pt>
                <c:pt idx="56">
                  <c:v>442</c:v>
                </c:pt>
                <c:pt idx="57">
                  <c:v>442</c:v>
                </c:pt>
                <c:pt idx="58">
                  <c:v>442</c:v>
                </c:pt>
                <c:pt idx="60">
                  <c:v>576</c:v>
                </c:pt>
                <c:pt idx="61">
                  <c:v>576</c:v>
                </c:pt>
                <c:pt idx="62">
                  <c:v>576</c:v>
                </c:pt>
                <c:pt idx="63">
                  <c:v>576</c:v>
                </c:pt>
                <c:pt idx="64">
                  <c:v>576</c:v>
                </c:pt>
                <c:pt idx="65">
                  <c:v>576</c:v>
                </c:pt>
                <c:pt idx="66">
                  <c:v>576</c:v>
                </c:pt>
                <c:pt idx="67">
                  <c:v>576</c:v>
                </c:pt>
                <c:pt idx="68">
                  <c:v>576</c:v>
                </c:pt>
                <c:pt idx="69">
                  <c:v>576</c:v>
                </c:pt>
                <c:pt idx="70">
                  <c:v>576</c:v>
                </c:pt>
                <c:pt idx="71">
                  <c:v>576</c:v>
                </c:pt>
                <c:pt idx="72">
                  <c:v>576</c:v>
                </c:pt>
                <c:pt idx="73">
                  <c:v>576</c:v>
                </c:pt>
                <c:pt idx="75">
                  <c:v>623</c:v>
                </c:pt>
                <c:pt idx="76">
                  <c:v>623</c:v>
                </c:pt>
                <c:pt idx="77">
                  <c:v>623</c:v>
                </c:pt>
                <c:pt idx="78">
                  <c:v>623</c:v>
                </c:pt>
                <c:pt idx="79">
                  <c:v>623</c:v>
                </c:pt>
                <c:pt idx="80">
                  <c:v>623</c:v>
                </c:pt>
                <c:pt idx="81">
                  <c:v>623</c:v>
                </c:pt>
                <c:pt idx="82">
                  <c:v>623</c:v>
                </c:pt>
                <c:pt idx="83">
                  <c:v>623</c:v>
                </c:pt>
                <c:pt idx="84">
                  <c:v>623</c:v>
                </c:pt>
                <c:pt idx="85">
                  <c:v>623</c:v>
                </c:pt>
                <c:pt idx="86">
                  <c:v>623</c:v>
                </c:pt>
                <c:pt idx="87">
                  <c:v>623</c:v>
                </c:pt>
                <c:pt idx="88">
                  <c:v>623</c:v>
                </c:pt>
                <c:pt idx="90">
                  <c:v>743</c:v>
                </c:pt>
                <c:pt idx="91">
                  <c:v>743</c:v>
                </c:pt>
                <c:pt idx="92">
                  <c:v>743</c:v>
                </c:pt>
                <c:pt idx="93">
                  <c:v>743</c:v>
                </c:pt>
                <c:pt idx="94">
                  <c:v>743</c:v>
                </c:pt>
                <c:pt idx="95">
                  <c:v>743</c:v>
                </c:pt>
                <c:pt idx="96">
                  <c:v>743</c:v>
                </c:pt>
                <c:pt idx="97">
                  <c:v>743</c:v>
                </c:pt>
                <c:pt idx="98">
                  <c:v>743</c:v>
                </c:pt>
                <c:pt idx="99">
                  <c:v>743</c:v>
                </c:pt>
                <c:pt idx="100">
                  <c:v>743</c:v>
                </c:pt>
                <c:pt idx="101">
                  <c:v>743</c:v>
                </c:pt>
                <c:pt idx="102">
                  <c:v>743</c:v>
                </c:pt>
                <c:pt idx="103">
                  <c:v>743</c:v>
                </c:pt>
                <c:pt idx="105">
                  <c:v>820</c:v>
                </c:pt>
                <c:pt idx="106">
                  <c:v>820</c:v>
                </c:pt>
                <c:pt idx="107">
                  <c:v>820</c:v>
                </c:pt>
                <c:pt idx="108">
                  <c:v>820</c:v>
                </c:pt>
                <c:pt idx="109">
                  <c:v>820</c:v>
                </c:pt>
                <c:pt idx="110">
                  <c:v>820</c:v>
                </c:pt>
                <c:pt idx="111">
                  <c:v>820</c:v>
                </c:pt>
                <c:pt idx="112">
                  <c:v>820</c:v>
                </c:pt>
                <c:pt idx="113">
                  <c:v>820</c:v>
                </c:pt>
                <c:pt idx="114">
                  <c:v>820</c:v>
                </c:pt>
                <c:pt idx="115">
                  <c:v>820</c:v>
                </c:pt>
                <c:pt idx="116">
                  <c:v>820</c:v>
                </c:pt>
                <c:pt idx="117">
                  <c:v>820</c:v>
                </c:pt>
                <c:pt idx="118">
                  <c:v>820</c:v>
                </c:pt>
                <c:pt idx="120">
                  <c:v>883</c:v>
                </c:pt>
                <c:pt idx="121">
                  <c:v>883</c:v>
                </c:pt>
                <c:pt idx="122">
                  <c:v>883</c:v>
                </c:pt>
                <c:pt idx="123">
                  <c:v>883</c:v>
                </c:pt>
                <c:pt idx="124">
                  <c:v>883</c:v>
                </c:pt>
                <c:pt idx="125">
                  <c:v>883</c:v>
                </c:pt>
                <c:pt idx="126">
                  <c:v>883</c:v>
                </c:pt>
                <c:pt idx="127">
                  <c:v>883</c:v>
                </c:pt>
                <c:pt idx="128">
                  <c:v>883</c:v>
                </c:pt>
                <c:pt idx="129">
                  <c:v>883</c:v>
                </c:pt>
                <c:pt idx="130">
                  <c:v>883</c:v>
                </c:pt>
                <c:pt idx="131">
                  <c:v>883</c:v>
                </c:pt>
                <c:pt idx="132">
                  <c:v>883</c:v>
                </c:pt>
                <c:pt idx="133">
                  <c:v>883</c:v>
                </c:pt>
                <c:pt idx="135">
                  <c:v>967</c:v>
                </c:pt>
                <c:pt idx="136">
                  <c:v>967</c:v>
                </c:pt>
                <c:pt idx="137">
                  <c:v>967</c:v>
                </c:pt>
                <c:pt idx="138">
                  <c:v>967</c:v>
                </c:pt>
                <c:pt idx="139">
                  <c:v>967</c:v>
                </c:pt>
                <c:pt idx="140">
                  <c:v>967</c:v>
                </c:pt>
                <c:pt idx="141">
                  <c:v>967</c:v>
                </c:pt>
                <c:pt idx="142">
                  <c:v>967</c:v>
                </c:pt>
                <c:pt idx="143">
                  <c:v>967</c:v>
                </c:pt>
                <c:pt idx="144">
                  <c:v>967</c:v>
                </c:pt>
                <c:pt idx="145">
                  <c:v>967</c:v>
                </c:pt>
                <c:pt idx="146">
                  <c:v>967</c:v>
                </c:pt>
                <c:pt idx="147">
                  <c:v>967</c:v>
                </c:pt>
                <c:pt idx="148">
                  <c:v>967</c:v>
                </c:pt>
                <c:pt idx="150">
                  <c:v>0</c:v>
                </c:pt>
                <c:pt idx="151">
                  <c:v>13880</c:v>
                </c:pt>
                <c:pt idx="153">
                  <c:v>13586.826114414815</c:v>
                </c:pt>
                <c:pt idx="154">
                  <c:v>13586.826114414815</c:v>
                </c:pt>
                <c:pt idx="156">
                  <c:v>0</c:v>
                </c:pt>
                <c:pt idx="157">
                  <c:v>1116</c:v>
                </c:pt>
                <c:pt idx="158">
                  <c:v>13880</c:v>
                </c:pt>
                <c:pt idx="160">
                  <c:v>0</c:v>
                </c:pt>
                <c:pt idx="161">
                  <c:v>13880</c:v>
                </c:pt>
                <c:pt idx="163">
                  <c:v>0</c:v>
                </c:pt>
                <c:pt idx="164">
                  <c:v>13880</c:v>
                </c:pt>
                <c:pt idx="166">
                  <c:v>0</c:v>
                </c:pt>
                <c:pt idx="167">
                  <c:v>13880</c:v>
                </c:pt>
                <c:pt idx="169">
                  <c:v>0</c:v>
                </c:pt>
                <c:pt idx="170">
                  <c:v>13880</c:v>
                </c:pt>
                <c:pt idx="172">
                  <c:v>0</c:v>
                </c:pt>
                <c:pt idx="173">
                  <c:v>13880</c:v>
                </c:pt>
                <c:pt idx="175">
                  <c:v>0</c:v>
                </c:pt>
                <c:pt idx="176">
                  <c:v>13880</c:v>
                </c:pt>
                <c:pt idx="178">
                  <c:v>0</c:v>
                </c:pt>
                <c:pt idx="179">
                  <c:v>13880</c:v>
                </c:pt>
                <c:pt idx="181">
                  <c:v>0</c:v>
                </c:pt>
                <c:pt idx="182">
                  <c:v>13880</c:v>
                </c:pt>
                <c:pt idx="184">
                  <c:v>0</c:v>
                </c:pt>
                <c:pt idx="185">
                  <c:v>13880</c:v>
                </c:pt>
                <c:pt idx="187">
                  <c:v>0</c:v>
                </c:pt>
                <c:pt idx="188">
                  <c:v>13880</c:v>
                </c:pt>
                <c:pt idx="190">
                  <c:v>0</c:v>
                </c:pt>
                <c:pt idx="191">
                  <c:v>13880</c:v>
                </c:pt>
                <c:pt idx="193">
                  <c:v>0</c:v>
                </c:pt>
                <c:pt idx="194">
                  <c:v>13880</c:v>
                </c:pt>
                <c:pt idx="196">
                  <c:v>0</c:v>
                </c:pt>
                <c:pt idx="197">
                  <c:v>13880</c:v>
                </c:pt>
                <c:pt idx="199">
                  <c:v>0</c:v>
                </c:pt>
                <c:pt idx="200">
                  <c:v>13880</c:v>
                </c:pt>
                <c:pt idx="202">
                  <c:v>0</c:v>
                </c:pt>
                <c:pt idx="203">
                  <c:v>13880</c:v>
                </c:pt>
                <c:pt idx="205">
                  <c:v>0</c:v>
                </c:pt>
                <c:pt idx="206">
                  <c:v>13880</c:v>
                </c:pt>
                <c:pt idx="208">
                  <c:v>0</c:v>
                </c:pt>
                <c:pt idx="209">
                  <c:v>13880</c:v>
                </c:pt>
                <c:pt idx="211">
                  <c:v>0</c:v>
                </c:pt>
                <c:pt idx="212">
                  <c:v>13880</c:v>
                </c:pt>
                <c:pt idx="214">
                  <c:v>0</c:v>
                </c:pt>
                <c:pt idx="215">
                  <c:v>13880</c:v>
                </c:pt>
                <c:pt idx="217">
                  <c:v>0</c:v>
                </c:pt>
                <c:pt idx="218">
                  <c:v>13880</c:v>
                </c:pt>
                <c:pt idx="220">
                  <c:v>0</c:v>
                </c:pt>
                <c:pt idx="221">
                  <c:v>13880</c:v>
                </c:pt>
                <c:pt idx="223">
                  <c:v>0</c:v>
                </c:pt>
                <c:pt idx="224">
                  <c:v>13880</c:v>
                </c:pt>
                <c:pt idx="226">
                  <c:v>0</c:v>
                </c:pt>
                <c:pt idx="227">
                  <c:v>13880</c:v>
                </c:pt>
                <c:pt idx="229">
                  <c:v>0</c:v>
                </c:pt>
                <c:pt idx="230">
                  <c:v>13880</c:v>
                </c:pt>
                <c:pt idx="232">
                  <c:v>0</c:v>
                </c:pt>
                <c:pt idx="233">
                  <c:v>13880</c:v>
                </c:pt>
                <c:pt idx="235">
                  <c:v>0</c:v>
                </c:pt>
                <c:pt idx="236">
                  <c:v>13880</c:v>
                </c:pt>
                <c:pt idx="238">
                  <c:v>0</c:v>
                </c:pt>
                <c:pt idx="239">
                  <c:v>13880</c:v>
                </c:pt>
                <c:pt idx="241">
                  <c:v>0</c:v>
                </c:pt>
                <c:pt idx="242">
                  <c:v>13880</c:v>
                </c:pt>
                <c:pt idx="244">
                  <c:v>0</c:v>
                </c:pt>
                <c:pt idx="245">
                  <c:v>13880</c:v>
                </c:pt>
                <c:pt idx="247">
                  <c:v>0</c:v>
                </c:pt>
                <c:pt idx="248">
                  <c:v>13880</c:v>
                </c:pt>
                <c:pt idx="250">
                  <c:v>0</c:v>
                </c:pt>
                <c:pt idx="251">
                  <c:v>13880</c:v>
                </c:pt>
                <c:pt idx="253">
                  <c:v>0</c:v>
                </c:pt>
                <c:pt idx="254">
                  <c:v>13880</c:v>
                </c:pt>
                <c:pt idx="256">
                  <c:v>0</c:v>
                </c:pt>
                <c:pt idx="257">
                  <c:v>13880</c:v>
                </c:pt>
                <c:pt idx="259">
                  <c:v>0</c:v>
                </c:pt>
                <c:pt idx="260">
                  <c:v>13880</c:v>
                </c:pt>
                <c:pt idx="262">
                  <c:v>0</c:v>
                </c:pt>
                <c:pt idx="263">
                  <c:v>13880</c:v>
                </c:pt>
                <c:pt idx="265">
                  <c:v>0</c:v>
                </c:pt>
                <c:pt idx="266">
                  <c:v>13880</c:v>
                </c:pt>
                <c:pt idx="268">
                  <c:v>0</c:v>
                </c:pt>
                <c:pt idx="269">
                  <c:v>13880</c:v>
                </c:pt>
                <c:pt idx="271">
                  <c:v>0</c:v>
                </c:pt>
                <c:pt idx="272">
                  <c:v>13880</c:v>
                </c:pt>
                <c:pt idx="274">
                  <c:v>0</c:v>
                </c:pt>
                <c:pt idx="275">
                  <c:v>13880</c:v>
                </c:pt>
                <c:pt idx="277">
                  <c:v>0</c:v>
                </c:pt>
                <c:pt idx="278">
                  <c:v>13880</c:v>
                </c:pt>
                <c:pt idx="280">
                  <c:v>0</c:v>
                </c:pt>
                <c:pt idx="281">
                  <c:v>13880</c:v>
                </c:pt>
              </c:numCache>
            </c:numRef>
          </c:xVal>
          <c:yVal>
            <c:numRef>
              <c:f>Graph_Data!$K$11:$K$292</c:f>
              <c:numCache>
                <c:ptCount val="282"/>
                <c:pt idx="163">
                  <c:v>-1.8239087409443189</c:v>
                </c:pt>
                <c:pt idx="164">
                  <c:v>-1.8239087409443189</c:v>
                </c:pt>
                <c:pt idx="193">
                  <c:v>-0.8239087409443188</c:v>
                </c:pt>
                <c:pt idx="194">
                  <c:v>-0.8239087409443188</c:v>
                </c:pt>
                <c:pt idx="223">
                  <c:v>0.17609125905568124</c:v>
                </c:pt>
                <c:pt idx="224">
                  <c:v>0.17609125905568124</c:v>
                </c:pt>
                <c:pt idx="253">
                  <c:v>1.1760912590556813</c:v>
                </c:pt>
                <c:pt idx="254">
                  <c:v>1.1760912590556813</c:v>
                </c:pt>
              </c:numCache>
            </c:numRef>
          </c:yVal>
          <c:smooth val="0"/>
        </c:ser>
        <c:ser>
          <c:idx val="0"/>
          <c:order val="5"/>
          <c:tx>
            <c:strRef>
              <c:f>Graph_Data!$G$7</c:f>
              <c:strCache>
                <c:ptCount val="1"/>
                <c:pt idx="0">
                  <c:v>周辺_1m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Graph_Data!$E$11:$E$292</c:f>
              <c:numCache>
                <c:ptCount val="282"/>
                <c:pt idx="0">
                  <c:v>145</c:v>
                </c:pt>
                <c:pt idx="1">
                  <c:v>145</c:v>
                </c:pt>
                <c:pt idx="2">
                  <c:v>145</c:v>
                </c:pt>
                <c:pt idx="3">
                  <c:v>145</c:v>
                </c:pt>
                <c:pt idx="4">
                  <c:v>145</c:v>
                </c:pt>
                <c:pt idx="5">
                  <c:v>145</c:v>
                </c:pt>
                <c:pt idx="6">
                  <c:v>145</c:v>
                </c:pt>
                <c:pt idx="7">
                  <c:v>145</c:v>
                </c:pt>
                <c:pt idx="8">
                  <c:v>145</c:v>
                </c:pt>
                <c:pt idx="9">
                  <c:v>145</c:v>
                </c:pt>
                <c:pt idx="10">
                  <c:v>145</c:v>
                </c:pt>
                <c:pt idx="11">
                  <c:v>145</c:v>
                </c:pt>
                <c:pt idx="12">
                  <c:v>145</c:v>
                </c:pt>
                <c:pt idx="13">
                  <c:v>145</c:v>
                </c:pt>
                <c:pt idx="15">
                  <c:v>260</c:v>
                </c:pt>
                <c:pt idx="16">
                  <c:v>260</c:v>
                </c:pt>
                <c:pt idx="17">
                  <c:v>260</c:v>
                </c:pt>
                <c:pt idx="18">
                  <c:v>260</c:v>
                </c:pt>
                <c:pt idx="19">
                  <c:v>260</c:v>
                </c:pt>
                <c:pt idx="20">
                  <c:v>260</c:v>
                </c:pt>
                <c:pt idx="21">
                  <c:v>260</c:v>
                </c:pt>
                <c:pt idx="22">
                  <c:v>260</c:v>
                </c:pt>
                <c:pt idx="23">
                  <c:v>260</c:v>
                </c:pt>
                <c:pt idx="24">
                  <c:v>260</c:v>
                </c:pt>
                <c:pt idx="25">
                  <c:v>260</c:v>
                </c:pt>
                <c:pt idx="26">
                  <c:v>260</c:v>
                </c:pt>
                <c:pt idx="27">
                  <c:v>260</c:v>
                </c:pt>
                <c:pt idx="28">
                  <c:v>260</c:v>
                </c:pt>
                <c:pt idx="30">
                  <c:v>373</c:v>
                </c:pt>
                <c:pt idx="31">
                  <c:v>373</c:v>
                </c:pt>
                <c:pt idx="32">
                  <c:v>373</c:v>
                </c:pt>
                <c:pt idx="33">
                  <c:v>373</c:v>
                </c:pt>
                <c:pt idx="34">
                  <c:v>373</c:v>
                </c:pt>
                <c:pt idx="35">
                  <c:v>373</c:v>
                </c:pt>
                <c:pt idx="36">
                  <c:v>373</c:v>
                </c:pt>
                <c:pt idx="37">
                  <c:v>373</c:v>
                </c:pt>
                <c:pt idx="38">
                  <c:v>373</c:v>
                </c:pt>
                <c:pt idx="39">
                  <c:v>373</c:v>
                </c:pt>
                <c:pt idx="40">
                  <c:v>373</c:v>
                </c:pt>
                <c:pt idx="41">
                  <c:v>373</c:v>
                </c:pt>
                <c:pt idx="42">
                  <c:v>373</c:v>
                </c:pt>
                <c:pt idx="43">
                  <c:v>373</c:v>
                </c:pt>
                <c:pt idx="45">
                  <c:v>442</c:v>
                </c:pt>
                <c:pt idx="46">
                  <c:v>442</c:v>
                </c:pt>
                <c:pt idx="47">
                  <c:v>442</c:v>
                </c:pt>
                <c:pt idx="48">
                  <c:v>442</c:v>
                </c:pt>
                <c:pt idx="49">
                  <c:v>442</c:v>
                </c:pt>
                <c:pt idx="50">
                  <c:v>442</c:v>
                </c:pt>
                <c:pt idx="51">
                  <c:v>442</c:v>
                </c:pt>
                <c:pt idx="52">
                  <c:v>442</c:v>
                </c:pt>
                <c:pt idx="53">
                  <c:v>442</c:v>
                </c:pt>
                <c:pt idx="54">
                  <c:v>442</c:v>
                </c:pt>
                <c:pt idx="55">
                  <c:v>442</c:v>
                </c:pt>
                <c:pt idx="56">
                  <c:v>442</c:v>
                </c:pt>
                <c:pt idx="57">
                  <c:v>442</c:v>
                </c:pt>
                <c:pt idx="58">
                  <c:v>442</c:v>
                </c:pt>
                <c:pt idx="60">
                  <c:v>576</c:v>
                </c:pt>
                <c:pt idx="61">
                  <c:v>576</c:v>
                </c:pt>
                <c:pt idx="62">
                  <c:v>576</c:v>
                </c:pt>
                <c:pt idx="63">
                  <c:v>576</c:v>
                </c:pt>
                <c:pt idx="64">
                  <c:v>576</c:v>
                </c:pt>
                <c:pt idx="65">
                  <c:v>576</c:v>
                </c:pt>
                <c:pt idx="66">
                  <c:v>576</c:v>
                </c:pt>
                <c:pt idx="67">
                  <c:v>576</c:v>
                </c:pt>
                <c:pt idx="68">
                  <c:v>576</c:v>
                </c:pt>
                <c:pt idx="69">
                  <c:v>576</c:v>
                </c:pt>
                <c:pt idx="70">
                  <c:v>576</c:v>
                </c:pt>
                <c:pt idx="71">
                  <c:v>576</c:v>
                </c:pt>
                <c:pt idx="72">
                  <c:v>576</c:v>
                </c:pt>
                <c:pt idx="73">
                  <c:v>576</c:v>
                </c:pt>
                <c:pt idx="75">
                  <c:v>623</c:v>
                </c:pt>
                <c:pt idx="76">
                  <c:v>623</c:v>
                </c:pt>
                <c:pt idx="77">
                  <c:v>623</c:v>
                </c:pt>
                <c:pt idx="78">
                  <c:v>623</c:v>
                </c:pt>
                <c:pt idx="79">
                  <c:v>623</c:v>
                </c:pt>
                <c:pt idx="80">
                  <c:v>623</c:v>
                </c:pt>
                <c:pt idx="81">
                  <c:v>623</c:v>
                </c:pt>
                <c:pt idx="82">
                  <c:v>623</c:v>
                </c:pt>
                <c:pt idx="83">
                  <c:v>623</c:v>
                </c:pt>
                <c:pt idx="84">
                  <c:v>623</c:v>
                </c:pt>
                <c:pt idx="85">
                  <c:v>623</c:v>
                </c:pt>
                <c:pt idx="86">
                  <c:v>623</c:v>
                </c:pt>
                <c:pt idx="87">
                  <c:v>623</c:v>
                </c:pt>
                <c:pt idx="88">
                  <c:v>623</c:v>
                </c:pt>
                <c:pt idx="90">
                  <c:v>743</c:v>
                </c:pt>
                <c:pt idx="91">
                  <c:v>743</c:v>
                </c:pt>
                <c:pt idx="92">
                  <c:v>743</c:v>
                </c:pt>
                <c:pt idx="93">
                  <c:v>743</c:v>
                </c:pt>
                <c:pt idx="94">
                  <c:v>743</c:v>
                </c:pt>
                <c:pt idx="95">
                  <c:v>743</c:v>
                </c:pt>
                <c:pt idx="96">
                  <c:v>743</c:v>
                </c:pt>
                <c:pt idx="97">
                  <c:v>743</c:v>
                </c:pt>
                <c:pt idx="98">
                  <c:v>743</c:v>
                </c:pt>
                <c:pt idx="99">
                  <c:v>743</c:v>
                </c:pt>
                <c:pt idx="100">
                  <c:v>743</c:v>
                </c:pt>
                <c:pt idx="101">
                  <c:v>743</c:v>
                </c:pt>
                <c:pt idx="102">
                  <c:v>743</c:v>
                </c:pt>
                <c:pt idx="103">
                  <c:v>743</c:v>
                </c:pt>
                <c:pt idx="105">
                  <c:v>820</c:v>
                </c:pt>
                <c:pt idx="106">
                  <c:v>820</c:v>
                </c:pt>
                <c:pt idx="107">
                  <c:v>820</c:v>
                </c:pt>
                <c:pt idx="108">
                  <c:v>820</c:v>
                </c:pt>
                <c:pt idx="109">
                  <c:v>820</c:v>
                </c:pt>
                <c:pt idx="110">
                  <c:v>820</c:v>
                </c:pt>
                <c:pt idx="111">
                  <c:v>820</c:v>
                </c:pt>
                <c:pt idx="112">
                  <c:v>820</c:v>
                </c:pt>
                <c:pt idx="113">
                  <c:v>820</c:v>
                </c:pt>
                <c:pt idx="114">
                  <c:v>820</c:v>
                </c:pt>
                <c:pt idx="115">
                  <c:v>820</c:v>
                </c:pt>
                <c:pt idx="116">
                  <c:v>820</c:v>
                </c:pt>
                <c:pt idx="117">
                  <c:v>820</c:v>
                </c:pt>
                <c:pt idx="118">
                  <c:v>820</c:v>
                </c:pt>
                <c:pt idx="120">
                  <c:v>883</c:v>
                </c:pt>
                <c:pt idx="121">
                  <c:v>883</c:v>
                </c:pt>
                <c:pt idx="122">
                  <c:v>883</c:v>
                </c:pt>
                <c:pt idx="123">
                  <c:v>883</c:v>
                </c:pt>
                <c:pt idx="124">
                  <c:v>883</c:v>
                </c:pt>
                <c:pt idx="125">
                  <c:v>883</c:v>
                </c:pt>
                <c:pt idx="126">
                  <c:v>883</c:v>
                </c:pt>
                <c:pt idx="127">
                  <c:v>883</c:v>
                </c:pt>
                <c:pt idx="128">
                  <c:v>883</c:v>
                </c:pt>
                <c:pt idx="129">
                  <c:v>883</c:v>
                </c:pt>
                <c:pt idx="130">
                  <c:v>883</c:v>
                </c:pt>
                <c:pt idx="131">
                  <c:v>883</c:v>
                </c:pt>
                <c:pt idx="132">
                  <c:v>883</c:v>
                </c:pt>
                <c:pt idx="133">
                  <c:v>883</c:v>
                </c:pt>
                <c:pt idx="135">
                  <c:v>967</c:v>
                </c:pt>
                <c:pt idx="136">
                  <c:v>967</c:v>
                </c:pt>
                <c:pt idx="137">
                  <c:v>967</c:v>
                </c:pt>
                <c:pt idx="138">
                  <c:v>967</c:v>
                </c:pt>
                <c:pt idx="139">
                  <c:v>967</c:v>
                </c:pt>
                <c:pt idx="140">
                  <c:v>967</c:v>
                </c:pt>
                <c:pt idx="141">
                  <c:v>967</c:v>
                </c:pt>
                <c:pt idx="142">
                  <c:v>967</c:v>
                </c:pt>
                <c:pt idx="143">
                  <c:v>967</c:v>
                </c:pt>
                <c:pt idx="144">
                  <c:v>967</c:v>
                </c:pt>
                <c:pt idx="145">
                  <c:v>967</c:v>
                </c:pt>
                <c:pt idx="146">
                  <c:v>967</c:v>
                </c:pt>
                <c:pt idx="147">
                  <c:v>967</c:v>
                </c:pt>
                <c:pt idx="148">
                  <c:v>967</c:v>
                </c:pt>
                <c:pt idx="150">
                  <c:v>0</c:v>
                </c:pt>
                <c:pt idx="151">
                  <c:v>13880</c:v>
                </c:pt>
                <c:pt idx="153">
                  <c:v>13586.826114414815</c:v>
                </c:pt>
                <c:pt idx="154">
                  <c:v>13586.826114414815</c:v>
                </c:pt>
                <c:pt idx="156">
                  <c:v>0</c:v>
                </c:pt>
                <c:pt idx="157">
                  <c:v>1116</c:v>
                </c:pt>
                <c:pt idx="158">
                  <c:v>13880</c:v>
                </c:pt>
                <c:pt idx="160">
                  <c:v>0</c:v>
                </c:pt>
                <c:pt idx="161">
                  <c:v>13880</c:v>
                </c:pt>
                <c:pt idx="163">
                  <c:v>0</c:v>
                </c:pt>
                <c:pt idx="164">
                  <c:v>13880</c:v>
                </c:pt>
                <c:pt idx="166">
                  <c:v>0</c:v>
                </c:pt>
                <c:pt idx="167">
                  <c:v>13880</c:v>
                </c:pt>
                <c:pt idx="169">
                  <c:v>0</c:v>
                </c:pt>
                <c:pt idx="170">
                  <c:v>13880</c:v>
                </c:pt>
                <c:pt idx="172">
                  <c:v>0</c:v>
                </c:pt>
                <c:pt idx="173">
                  <c:v>13880</c:v>
                </c:pt>
                <c:pt idx="175">
                  <c:v>0</c:v>
                </c:pt>
                <c:pt idx="176">
                  <c:v>13880</c:v>
                </c:pt>
                <c:pt idx="178">
                  <c:v>0</c:v>
                </c:pt>
                <c:pt idx="179">
                  <c:v>13880</c:v>
                </c:pt>
                <c:pt idx="181">
                  <c:v>0</c:v>
                </c:pt>
                <c:pt idx="182">
                  <c:v>13880</c:v>
                </c:pt>
                <c:pt idx="184">
                  <c:v>0</c:v>
                </c:pt>
                <c:pt idx="185">
                  <c:v>13880</c:v>
                </c:pt>
                <c:pt idx="187">
                  <c:v>0</c:v>
                </c:pt>
                <c:pt idx="188">
                  <c:v>13880</c:v>
                </c:pt>
                <c:pt idx="190">
                  <c:v>0</c:v>
                </c:pt>
                <c:pt idx="191">
                  <c:v>13880</c:v>
                </c:pt>
                <c:pt idx="193">
                  <c:v>0</c:v>
                </c:pt>
                <c:pt idx="194">
                  <c:v>13880</c:v>
                </c:pt>
                <c:pt idx="196">
                  <c:v>0</c:v>
                </c:pt>
                <c:pt idx="197">
                  <c:v>13880</c:v>
                </c:pt>
                <c:pt idx="199">
                  <c:v>0</c:v>
                </c:pt>
                <c:pt idx="200">
                  <c:v>13880</c:v>
                </c:pt>
                <c:pt idx="202">
                  <c:v>0</c:v>
                </c:pt>
                <c:pt idx="203">
                  <c:v>13880</c:v>
                </c:pt>
                <c:pt idx="205">
                  <c:v>0</c:v>
                </c:pt>
                <c:pt idx="206">
                  <c:v>13880</c:v>
                </c:pt>
                <c:pt idx="208">
                  <c:v>0</c:v>
                </c:pt>
                <c:pt idx="209">
                  <c:v>13880</c:v>
                </c:pt>
                <c:pt idx="211">
                  <c:v>0</c:v>
                </c:pt>
                <c:pt idx="212">
                  <c:v>13880</c:v>
                </c:pt>
                <c:pt idx="214">
                  <c:v>0</c:v>
                </c:pt>
                <c:pt idx="215">
                  <c:v>13880</c:v>
                </c:pt>
                <c:pt idx="217">
                  <c:v>0</c:v>
                </c:pt>
                <c:pt idx="218">
                  <c:v>13880</c:v>
                </c:pt>
                <c:pt idx="220">
                  <c:v>0</c:v>
                </c:pt>
                <c:pt idx="221">
                  <c:v>13880</c:v>
                </c:pt>
                <c:pt idx="223">
                  <c:v>0</c:v>
                </c:pt>
                <c:pt idx="224">
                  <c:v>13880</c:v>
                </c:pt>
                <c:pt idx="226">
                  <c:v>0</c:v>
                </c:pt>
                <c:pt idx="227">
                  <c:v>13880</c:v>
                </c:pt>
                <c:pt idx="229">
                  <c:v>0</c:v>
                </c:pt>
                <c:pt idx="230">
                  <c:v>13880</c:v>
                </c:pt>
                <c:pt idx="232">
                  <c:v>0</c:v>
                </c:pt>
                <c:pt idx="233">
                  <c:v>13880</c:v>
                </c:pt>
                <c:pt idx="235">
                  <c:v>0</c:v>
                </c:pt>
                <c:pt idx="236">
                  <c:v>13880</c:v>
                </c:pt>
                <c:pt idx="238">
                  <c:v>0</c:v>
                </c:pt>
                <c:pt idx="239">
                  <c:v>13880</c:v>
                </c:pt>
                <c:pt idx="241">
                  <c:v>0</c:v>
                </c:pt>
                <c:pt idx="242">
                  <c:v>13880</c:v>
                </c:pt>
                <c:pt idx="244">
                  <c:v>0</c:v>
                </c:pt>
                <c:pt idx="245">
                  <c:v>13880</c:v>
                </c:pt>
                <c:pt idx="247">
                  <c:v>0</c:v>
                </c:pt>
                <c:pt idx="248">
                  <c:v>13880</c:v>
                </c:pt>
                <c:pt idx="250">
                  <c:v>0</c:v>
                </c:pt>
                <c:pt idx="251">
                  <c:v>13880</c:v>
                </c:pt>
                <c:pt idx="253">
                  <c:v>0</c:v>
                </c:pt>
                <c:pt idx="254">
                  <c:v>13880</c:v>
                </c:pt>
                <c:pt idx="256">
                  <c:v>0</c:v>
                </c:pt>
                <c:pt idx="257">
                  <c:v>13880</c:v>
                </c:pt>
                <c:pt idx="259">
                  <c:v>0</c:v>
                </c:pt>
                <c:pt idx="260">
                  <c:v>13880</c:v>
                </c:pt>
                <c:pt idx="262">
                  <c:v>0</c:v>
                </c:pt>
                <c:pt idx="263">
                  <c:v>13880</c:v>
                </c:pt>
                <c:pt idx="265">
                  <c:v>0</c:v>
                </c:pt>
                <c:pt idx="266">
                  <c:v>13880</c:v>
                </c:pt>
                <c:pt idx="268">
                  <c:v>0</c:v>
                </c:pt>
                <c:pt idx="269">
                  <c:v>13880</c:v>
                </c:pt>
                <c:pt idx="271">
                  <c:v>0</c:v>
                </c:pt>
                <c:pt idx="272">
                  <c:v>13880</c:v>
                </c:pt>
                <c:pt idx="274">
                  <c:v>0</c:v>
                </c:pt>
                <c:pt idx="275">
                  <c:v>13880</c:v>
                </c:pt>
                <c:pt idx="277">
                  <c:v>0</c:v>
                </c:pt>
                <c:pt idx="278">
                  <c:v>13880</c:v>
                </c:pt>
                <c:pt idx="280">
                  <c:v>0</c:v>
                </c:pt>
                <c:pt idx="281">
                  <c:v>13880</c:v>
                </c:pt>
              </c:numCache>
            </c:numRef>
          </c:xVal>
          <c:yVal>
            <c:numRef>
              <c:f>Graph_Data!$G$11:$G$292</c:f>
              <c:numCache>
                <c:ptCount val="282"/>
                <c:pt idx="0">
                  <c:v>1.1367205671564067</c:v>
                </c:pt>
                <c:pt idx="1">
                  <c:v>1.1613680022349748</c:v>
                </c:pt>
                <c:pt idx="2">
                  <c:v>1.24551266781415</c:v>
                </c:pt>
                <c:pt idx="3">
                  <c:v>1.2671717284030137</c:v>
                </c:pt>
                <c:pt idx="4">
                  <c:v>1.3031960574204888</c:v>
                </c:pt>
                <c:pt idx="5">
                  <c:v>1.3117538610557542</c:v>
                </c:pt>
                <c:pt idx="6">
                  <c:v>1.3180633349627615</c:v>
                </c:pt>
                <c:pt idx="7">
                  <c:v>1.3483048630481607</c:v>
                </c:pt>
                <c:pt idx="8">
                  <c:v>1.3617278360175928</c:v>
                </c:pt>
                <c:pt idx="9">
                  <c:v>1.1818435879447726</c:v>
                </c:pt>
                <c:pt idx="10">
                  <c:v>1.2430380486862944</c:v>
                </c:pt>
                <c:pt idx="11">
                  <c:v>1.2576785748691846</c:v>
                </c:pt>
                <c:pt idx="12">
                  <c:v>1.252853030979893</c:v>
                </c:pt>
                <c:pt idx="13">
                  <c:v>1.2430380486862944</c:v>
                </c:pt>
                <c:pt idx="15">
                  <c:v>1.235528446907549</c:v>
                </c:pt>
                <c:pt idx="16">
                  <c:v>1.250420002308894</c:v>
                </c:pt>
                <c:pt idx="17">
                  <c:v>1.2479732663618066</c:v>
                </c:pt>
                <c:pt idx="18">
                  <c:v>1.2695129442179163</c:v>
                </c:pt>
                <c:pt idx="19">
                  <c:v>1.2695129442179163</c:v>
                </c:pt>
                <c:pt idx="20">
                  <c:v>1.2671717284030137</c:v>
                </c:pt>
                <c:pt idx="21">
                  <c:v>1.271841606536499</c:v>
                </c:pt>
                <c:pt idx="22">
                  <c:v>1.271841606536499</c:v>
                </c:pt>
                <c:pt idx="23">
                  <c:v>1.276461804173244</c:v>
                </c:pt>
                <c:pt idx="24">
                  <c:v>1.2576785748691846</c:v>
                </c:pt>
                <c:pt idx="25">
                  <c:v>1.2648178230095364</c:v>
                </c:pt>
                <c:pt idx="26">
                  <c:v>1.276461804173244</c:v>
                </c:pt>
                <c:pt idx="27">
                  <c:v>1.2695129442179163</c:v>
                </c:pt>
                <c:pt idx="28">
                  <c:v>1.2695129442179163</c:v>
                </c:pt>
                <c:pt idx="30">
                  <c:v>1.1205739312058498</c:v>
                </c:pt>
                <c:pt idx="31">
                  <c:v>1.1205739312058498</c:v>
                </c:pt>
                <c:pt idx="32">
                  <c:v>1.1846914308175989</c:v>
                </c:pt>
                <c:pt idx="33">
                  <c:v>1.187520720836463</c:v>
                </c:pt>
                <c:pt idx="34">
                  <c:v>1.2013971243204515</c:v>
                </c:pt>
                <c:pt idx="35">
                  <c:v>1.2068258760318498</c:v>
                </c:pt>
                <c:pt idx="36">
                  <c:v>1.209515014542631</c:v>
                </c:pt>
                <c:pt idx="37">
                  <c:v>1.2148438480476977</c:v>
                </c:pt>
                <c:pt idx="38">
                  <c:v>1.2201080880400552</c:v>
                </c:pt>
                <c:pt idx="39">
                  <c:v>1.1818435879447726</c:v>
                </c:pt>
                <c:pt idx="40">
                  <c:v>1.1986570869544226</c:v>
                </c:pt>
                <c:pt idx="41">
                  <c:v>1.2148438480476977</c:v>
                </c:pt>
                <c:pt idx="42">
                  <c:v>1.2304489213782739</c:v>
                </c:pt>
                <c:pt idx="43">
                  <c:v>1.2201080880400552</c:v>
                </c:pt>
                <c:pt idx="45">
                  <c:v>1.0170333392987803</c:v>
                </c:pt>
                <c:pt idx="46">
                  <c:v>1.0253058652647702</c:v>
                </c:pt>
                <c:pt idx="47">
                  <c:v>1.0791812460476249</c:v>
                </c:pt>
                <c:pt idx="48">
                  <c:v>1.0934216851622351</c:v>
                </c:pt>
                <c:pt idx="49">
                  <c:v>1.0969100130080565</c:v>
                </c:pt>
                <c:pt idx="50">
                  <c:v>1.08278537031645</c:v>
                </c:pt>
                <c:pt idx="51">
                  <c:v>1.0755469613925308</c:v>
                </c:pt>
                <c:pt idx="52">
                  <c:v>1.0755469613925308</c:v>
                </c:pt>
                <c:pt idx="53">
                  <c:v>1.0569048513364727</c:v>
                </c:pt>
                <c:pt idx="54">
                  <c:v>1.089905111439398</c:v>
                </c:pt>
                <c:pt idx="55">
                  <c:v>1.3096301674258988</c:v>
                </c:pt>
                <c:pt idx="56">
                  <c:v>1.2600713879850747</c:v>
                </c:pt>
                <c:pt idx="57">
                  <c:v>1.2648178230095364</c:v>
                </c:pt>
                <c:pt idx="58">
                  <c:v>1.2405492482825997</c:v>
                </c:pt>
                <c:pt idx="60">
                  <c:v>1.0606978403536116</c:v>
                </c:pt>
                <c:pt idx="61">
                  <c:v>1.1702617153949575</c:v>
                </c:pt>
                <c:pt idx="62">
                  <c:v>1.0681858617461617</c:v>
                </c:pt>
                <c:pt idx="63">
                  <c:v>1.0334237554869496</c:v>
                </c:pt>
                <c:pt idx="64">
                  <c:v>1.0170333392987803</c:v>
                </c:pt>
                <c:pt idx="65">
                  <c:v>1.1931245983544616</c:v>
                </c:pt>
                <c:pt idx="66">
                  <c:v>1.2329961103921538</c:v>
                </c:pt>
                <c:pt idx="67">
                  <c:v>1.1367205671564067</c:v>
                </c:pt>
                <c:pt idx="68">
                  <c:v>1.2787536009528289</c:v>
                </c:pt>
                <c:pt idx="69">
                  <c:v>1.2741578492636798</c:v>
                </c:pt>
                <c:pt idx="70">
                  <c:v>1.3031960574204888</c:v>
                </c:pt>
                <c:pt idx="71">
                  <c:v>1.307496037913213</c:v>
                </c:pt>
                <c:pt idx="72">
                  <c:v>1.2201080880400552</c:v>
                </c:pt>
                <c:pt idx="73">
                  <c:v>1.1789769472931695</c:v>
                </c:pt>
                <c:pt idx="75">
                  <c:v>1.1522883443830565</c:v>
                </c:pt>
                <c:pt idx="76">
                  <c:v>1.1643528557844371</c:v>
                </c:pt>
                <c:pt idx="77">
                  <c:v>1.1986570869544226</c:v>
                </c:pt>
                <c:pt idx="78">
                  <c:v>1.2041199826559248</c:v>
                </c:pt>
                <c:pt idx="79">
                  <c:v>1.2041199826559248</c:v>
                </c:pt>
                <c:pt idx="80">
                  <c:v>1.2041199826559248</c:v>
                </c:pt>
                <c:pt idx="81">
                  <c:v>1.2041199826559248</c:v>
                </c:pt>
                <c:pt idx="82">
                  <c:v>1.2013971243204515</c:v>
                </c:pt>
                <c:pt idx="83">
                  <c:v>1.2013971243204515</c:v>
                </c:pt>
                <c:pt idx="84">
                  <c:v>1.1760912590556813</c:v>
                </c:pt>
                <c:pt idx="85">
                  <c:v>1.1903316981702914</c:v>
                </c:pt>
                <c:pt idx="86">
                  <c:v>1.1986570869544226</c:v>
                </c:pt>
                <c:pt idx="87">
                  <c:v>1.1986570869544226</c:v>
                </c:pt>
                <c:pt idx="88">
                  <c:v>1.1958996524092338</c:v>
                </c:pt>
                <c:pt idx="90">
                  <c:v>1.0791812460476249</c:v>
                </c:pt>
                <c:pt idx="91">
                  <c:v>1.1038037209559568</c:v>
                </c:pt>
                <c:pt idx="92">
                  <c:v>1.1238516409670858</c:v>
                </c:pt>
                <c:pt idx="93">
                  <c:v>1.0644579892269184</c:v>
                </c:pt>
                <c:pt idx="94">
                  <c:v>1.089905111439398</c:v>
                </c:pt>
                <c:pt idx="95">
                  <c:v>1.0969100130080565</c:v>
                </c:pt>
                <c:pt idx="96">
                  <c:v>1.1139433523068367</c:v>
                </c:pt>
                <c:pt idx="97">
                  <c:v>0.9731278535996987</c:v>
                </c:pt>
                <c:pt idx="98">
                  <c:v>1.209515014542631</c:v>
                </c:pt>
                <c:pt idx="99">
                  <c:v>1.1931245983544616</c:v>
                </c:pt>
                <c:pt idx="100">
                  <c:v>1.2013971243204515</c:v>
                </c:pt>
                <c:pt idx="101">
                  <c:v>1.2148438480476977</c:v>
                </c:pt>
                <c:pt idx="102">
                  <c:v>1.2174839442139063</c:v>
                </c:pt>
                <c:pt idx="103">
                  <c:v>1.2013971243204515</c:v>
                </c:pt>
                <c:pt idx="105">
                  <c:v>1.1139433523068367</c:v>
                </c:pt>
                <c:pt idx="106">
                  <c:v>1.1172712956557642</c:v>
                </c:pt>
                <c:pt idx="107">
                  <c:v>1.0253058652647702</c:v>
                </c:pt>
                <c:pt idx="108">
                  <c:v>1.1335389083702174</c:v>
                </c:pt>
                <c:pt idx="109">
                  <c:v>1.146128035678238</c:v>
                </c:pt>
                <c:pt idx="110">
                  <c:v>1.1398790864012365</c:v>
                </c:pt>
                <c:pt idx="111">
                  <c:v>1.1367205671564067</c:v>
                </c:pt>
                <c:pt idx="112">
                  <c:v>1.2278867046136734</c:v>
                </c:pt>
                <c:pt idx="113">
                  <c:v>1.24551266781415</c:v>
                </c:pt>
                <c:pt idx="114">
                  <c:v>1.1271047983648077</c:v>
                </c:pt>
                <c:pt idx="115">
                  <c:v>1.173186268412274</c:v>
                </c:pt>
                <c:pt idx="116">
                  <c:v>1.173186268412274</c:v>
                </c:pt>
                <c:pt idx="117">
                  <c:v>1.1958996524092338</c:v>
                </c:pt>
                <c:pt idx="118">
                  <c:v>1.1818435879447726</c:v>
                </c:pt>
                <c:pt idx="120">
                  <c:v>1.0681858617461617</c:v>
                </c:pt>
                <c:pt idx="121">
                  <c:v>1.0863598306747482</c:v>
                </c:pt>
                <c:pt idx="122">
                  <c:v>1.0718820073061255</c:v>
                </c:pt>
                <c:pt idx="123">
                  <c:v>1.0791812460476249</c:v>
                </c:pt>
                <c:pt idx="124">
                  <c:v>1.1038037209559568</c:v>
                </c:pt>
                <c:pt idx="125">
                  <c:v>1.0791812460476249</c:v>
                </c:pt>
                <c:pt idx="126">
                  <c:v>1.0934216851622351</c:v>
                </c:pt>
                <c:pt idx="127">
                  <c:v>1.0530784434834197</c:v>
                </c:pt>
                <c:pt idx="128">
                  <c:v>1.1846914308175989</c:v>
                </c:pt>
                <c:pt idx="129">
                  <c:v>1.14921911265538</c:v>
                </c:pt>
                <c:pt idx="130">
                  <c:v>1.2648178230095364</c:v>
                </c:pt>
                <c:pt idx="131">
                  <c:v>1.110589710299249</c:v>
                </c:pt>
                <c:pt idx="132">
                  <c:v>1.0969100130080565</c:v>
                </c:pt>
                <c:pt idx="133">
                  <c:v>1.0934216851622351</c:v>
                </c:pt>
                <c:pt idx="135">
                  <c:v>1.0718820073061255</c:v>
                </c:pt>
                <c:pt idx="136">
                  <c:v>1.0863598306747482</c:v>
                </c:pt>
                <c:pt idx="137">
                  <c:v>1.1038037209559568</c:v>
                </c:pt>
                <c:pt idx="138">
                  <c:v>0.9576072870600952</c:v>
                </c:pt>
                <c:pt idx="139">
                  <c:v>1.1271047983648077</c:v>
                </c:pt>
                <c:pt idx="140">
                  <c:v>1.0530784434834197</c:v>
                </c:pt>
                <c:pt idx="141">
                  <c:v>1.0681858617461617</c:v>
                </c:pt>
                <c:pt idx="142">
                  <c:v>1.0086001717619175</c:v>
                </c:pt>
                <c:pt idx="143">
                  <c:v>1.1205739312058498</c:v>
                </c:pt>
                <c:pt idx="144">
                  <c:v>1.110589710299249</c:v>
                </c:pt>
                <c:pt idx="145">
                  <c:v>1.1522883443830565</c:v>
                </c:pt>
                <c:pt idx="146">
                  <c:v>1.1072099696478683</c:v>
                </c:pt>
                <c:pt idx="147">
                  <c:v>1.0934216851622351</c:v>
                </c:pt>
                <c:pt idx="148">
                  <c:v>1.08278537031645</c:v>
                </c:pt>
              </c:numCache>
            </c:numRef>
          </c:yVal>
          <c:smooth val="0"/>
        </c:ser>
        <c:ser>
          <c:idx val="1"/>
          <c:order val="6"/>
          <c:tx>
            <c:strRef>
              <c:f>Graph_Data!$L$7</c:f>
              <c:strCache>
                <c:ptCount val="1"/>
                <c:pt idx="0">
                  <c:v>0.05事故前BG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Graph_Data!$E$11:$E$292</c:f>
              <c:numCache>
                <c:ptCount val="282"/>
                <c:pt idx="0">
                  <c:v>145</c:v>
                </c:pt>
                <c:pt idx="1">
                  <c:v>145</c:v>
                </c:pt>
                <c:pt idx="2">
                  <c:v>145</c:v>
                </c:pt>
                <c:pt idx="3">
                  <c:v>145</c:v>
                </c:pt>
                <c:pt idx="4">
                  <c:v>145</c:v>
                </c:pt>
                <c:pt idx="5">
                  <c:v>145</c:v>
                </c:pt>
                <c:pt idx="6">
                  <c:v>145</c:v>
                </c:pt>
                <c:pt idx="7">
                  <c:v>145</c:v>
                </c:pt>
                <c:pt idx="8">
                  <c:v>145</c:v>
                </c:pt>
                <c:pt idx="9">
                  <c:v>145</c:v>
                </c:pt>
                <c:pt idx="10">
                  <c:v>145</c:v>
                </c:pt>
                <c:pt idx="11">
                  <c:v>145</c:v>
                </c:pt>
                <c:pt idx="12">
                  <c:v>145</c:v>
                </c:pt>
                <c:pt idx="13">
                  <c:v>145</c:v>
                </c:pt>
                <c:pt idx="15">
                  <c:v>260</c:v>
                </c:pt>
                <c:pt idx="16">
                  <c:v>260</c:v>
                </c:pt>
                <c:pt idx="17">
                  <c:v>260</c:v>
                </c:pt>
                <c:pt idx="18">
                  <c:v>260</c:v>
                </c:pt>
                <c:pt idx="19">
                  <c:v>260</c:v>
                </c:pt>
                <c:pt idx="20">
                  <c:v>260</c:v>
                </c:pt>
                <c:pt idx="21">
                  <c:v>260</c:v>
                </c:pt>
                <c:pt idx="22">
                  <c:v>260</c:v>
                </c:pt>
                <c:pt idx="23">
                  <c:v>260</c:v>
                </c:pt>
                <c:pt idx="24">
                  <c:v>260</c:v>
                </c:pt>
                <c:pt idx="25">
                  <c:v>260</c:v>
                </c:pt>
                <c:pt idx="26">
                  <c:v>260</c:v>
                </c:pt>
                <c:pt idx="27">
                  <c:v>260</c:v>
                </c:pt>
                <c:pt idx="28">
                  <c:v>260</c:v>
                </c:pt>
                <c:pt idx="30">
                  <c:v>373</c:v>
                </c:pt>
                <c:pt idx="31">
                  <c:v>373</c:v>
                </c:pt>
                <c:pt idx="32">
                  <c:v>373</c:v>
                </c:pt>
                <c:pt idx="33">
                  <c:v>373</c:v>
                </c:pt>
                <c:pt idx="34">
                  <c:v>373</c:v>
                </c:pt>
                <c:pt idx="35">
                  <c:v>373</c:v>
                </c:pt>
                <c:pt idx="36">
                  <c:v>373</c:v>
                </c:pt>
                <c:pt idx="37">
                  <c:v>373</c:v>
                </c:pt>
                <c:pt idx="38">
                  <c:v>373</c:v>
                </c:pt>
                <c:pt idx="39">
                  <c:v>373</c:v>
                </c:pt>
                <c:pt idx="40">
                  <c:v>373</c:v>
                </c:pt>
                <c:pt idx="41">
                  <c:v>373</c:v>
                </c:pt>
                <c:pt idx="42">
                  <c:v>373</c:v>
                </c:pt>
                <c:pt idx="43">
                  <c:v>373</c:v>
                </c:pt>
                <c:pt idx="45">
                  <c:v>442</c:v>
                </c:pt>
                <c:pt idx="46">
                  <c:v>442</c:v>
                </c:pt>
                <c:pt idx="47">
                  <c:v>442</c:v>
                </c:pt>
                <c:pt idx="48">
                  <c:v>442</c:v>
                </c:pt>
                <c:pt idx="49">
                  <c:v>442</c:v>
                </c:pt>
                <c:pt idx="50">
                  <c:v>442</c:v>
                </c:pt>
                <c:pt idx="51">
                  <c:v>442</c:v>
                </c:pt>
                <c:pt idx="52">
                  <c:v>442</c:v>
                </c:pt>
                <c:pt idx="53">
                  <c:v>442</c:v>
                </c:pt>
                <c:pt idx="54">
                  <c:v>442</c:v>
                </c:pt>
                <c:pt idx="55">
                  <c:v>442</c:v>
                </c:pt>
                <c:pt idx="56">
                  <c:v>442</c:v>
                </c:pt>
                <c:pt idx="57">
                  <c:v>442</c:v>
                </c:pt>
                <c:pt idx="58">
                  <c:v>442</c:v>
                </c:pt>
                <c:pt idx="60">
                  <c:v>576</c:v>
                </c:pt>
                <c:pt idx="61">
                  <c:v>576</c:v>
                </c:pt>
                <c:pt idx="62">
                  <c:v>576</c:v>
                </c:pt>
                <c:pt idx="63">
                  <c:v>576</c:v>
                </c:pt>
                <c:pt idx="64">
                  <c:v>576</c:v>
                </c:pt>
                <c:pt idx="65">
                  <c:v>576</c:v>
                </c:pt>
                <c:pt idx="66">
                  <c:v>576</c:v>
                </c:pt>
                <c:pt idx="67">
                  <c:v>576</c:v>
                </c:pt>
                <c:pt idx="68">
                  <c:v>576</c:v>
                </c:pt>
                <c:pt idx="69">
                  <c:v>576</c:v>
                </c:pt>
                <c:pt idx="70">
                  <c:v>576</c:v>
                </c:pt>
                <c:pt idx="71">
                  <c:v>576</c:v>
                </c:pt>
                <c:pt idx="72">
                  <c:v>576</c:v>
                </c:pt>
                <c:pt idx="73">
                  <c:v>576</c:v>
                </c:pt>
                <c:pt idx="75">
                  <c:v>623</c:v>
                </c:pt>
                <c:pt idx="76">
                  <c:v>623</c:v>
                </c:pt>
                <c:pt idx="77">
                  <c:v>623</c:v>
                </c:pt>
                <c:pt idx="78">
                  <c:v>623</c:v>
                </c:pt>
                <c:pt idx="79">
                  <c:v>623</c:v>
                </c:pt>
                <c:pt idx="80">
                  <c:v>623</c:v>
                </c:pt>
                <c:pt idx="81">
                  <c:v>623</c:v>
                </c:pt>
                <c:pt idx="82">
                  <c:v>623</c:v>
                </c:pt>
                <c:pt idx="83">
                  <c:v>623</c:v>
                </c:pt>
                <c:pt idx="84">
                  <c:v>623</c:v>
                </c:pt>
                <c:pt idx="85">
                  <c:v>623</c:v>
                </c:pt>
                <c:pt idx="86">
                  <c:v>623</c:v>
                </c:pt>
                <c:pt idx="87">
                  <c:v>623</c:v>
                </c:pt>
                <c:pt idx="88">
                  <c:v>623</c:v>
                </c:pt>
                <c:pt idx="90">
                  <c:v>743</c:v>
                </c:pt>
                <c:pt idx="91">
                  <c:v>743</c:v>
                </c:pt>
                <c:pt idx="92">
                  <c:v>743</c:v>
                </c:pt>
                <c:pt idx="93">
                  <c:v>743</c:v>
                </c:pt>
                <c:pt idx="94">
                  <c:v>743</c:v>
                </c:pt>
                <c:pt idx="95">
                  <c:v>743</c:v>
                </c:pt>
                <c:pt idx="96">
                  <c:v>743</c:v>
                </c:pt>
                <c:pt idx="97">
                  <c:v>743</c:v>
                </c:pt>
                <c:pt idx="98">
                  <c:v>743</c:v>
                </c:pt>
                <c:pt idx="99">
                  <c:v>743</c:v>
                </c:pt>
                <c:pt idx="100">
                  <c:v>743</c:v>
                </c:pt>
                <c:pt idx="101">
                  <c:v>743</c:v>
                </c:pt>
                <c:pt idx="102">
                  <c:v>743</c:v>
                </c:pt>
                <c:pt idx="103">
                  <c:v>743</c:v>
                </c:pt>
                <c:pt idx="105">
                  <c:v>820</c:v>
                </c:pt>
                <c:pt idx="106">
                  <c:v>820</c:v>
                </c:pt>
                <c:pt idx="107">
                  <c:v>820</c:v>
                </c:pt>
                <c:pt idx="108">
                  <c:v>820</c:v>
                </c:pt>
                <c:pt idx="109">
                  <c:v>820</c:v>
                </c:pt>
                <c:pt idx="110">
                  <c:v>820</c:v>
                </c:pt>
                <c:pt idx="111">
                  <c:v>820</c:v>
                </c:pt>
                <c:pt idx="112">
                  <c:v>820</c:v>
                </c:pt>
                <c:pt idx="113">
                  <c:v>820</c:v>
                </c:pt>
                <c:pt idx="114">
                  <c:v>820</c:v>
                </c:pt>
                <c:pt idx="115">
                  <c:v>820</c:v>
                </c:pt>
                <c:pt idx="116">
                  <c:v>820</c:v>
                </c:pt>
                <c:pt idx="117">
                  <c:v>820</c:v>
                </c:pt>
                <c:pt idx="118">
                  <c:v>820</c:v>
                </c:pt>
                <c:pt idx="120">
                  <c:v>883</c:v>
                </c:pt>
                <c:pt idx="121">
                  <c:v>883</c:v>
                </c:pt>
                <c:pt idx="122">
                  <c:v>883</c:v>
                </c:pt>
                <c:pt idx="123">
                  <c:v>883</c:v>
                </c:pt>
                <c:pt idx="124">
                  <c:v>883</c:v>
                </c:pt>
                <c:pt idx="125">
                  <c:v>883</c:v>
                </c:pt>
                <c:pt idx="126">
                  <c:v>883</c:v>
                </c:pt>
                <c:pt idx="127">
                  <c:v>883</c:v>
                </c:pt>
                <c:pt idx="128">
                  <c:v>883</c:v>
                </c:pt>
                <c:pt idx="129">
                  <c:v>883</c:v>
                </c:pt>
                <c:pt idx="130">
                  <c:v>883</c:v>
                </c:pt>
                <c:pt idx="131">
                  <c:v>883</c:v>
                </c:pt>
                <c:pt idx="132">
                  <c:v>883</c:v>
                </c:pt>
                <c:pt idx="133">
                  <c:v>883</c:v>
                </c:pt>
                <c:pt idx="135">
                  <c:v>967</c:v>
                </c:pt>
                <c:pt idx="136">
                  <c:v>967</c:v>
                </c:pt>
                <c:pt idx="137">
                  <c:v>967</c:v>
                </c:pt>
                <c:pt idx="138">
                  <c:v>967</c:v>
                </c:pt>
                <c:pt idx="139">
                  <c:v>967</c:v>
                </c:pt>
                <c:pt idx="140">
                  <c:v>967</c:v>
                </c:pt>
                <c:pt idx="141">
                  <c:v>967</c:v>
                </c:pt>
                <c:pt idx="142">
                  <c:v>967</c:v>
                </c:pt>
                <c:pt idx="143">
                  <c:v>967</c:v>
                </c:pt>
                <c:pt idx="144">
                  <c:v>967</c:v>
                </c:pt>
                <c:pt idx="145">
                  <c:v>967</c:v>
                </c:pt>
                <c:pt idx="146">
                  <c:v>967</c:v>
                </c:pt>
                <c:pt idx="147">
                  <c:v>967</c:v>
                </c:pt>
                <c:pt idx="148">
                  <c:v>967</c:v>
                </c:pt>
                <c:pt idx="150">
                  <c:v>0</c:v>
                </c:pt>
                <c:pt idx="151">
                  <c:v>13880</c:v>
                </c:pt>
                <c:pt idx="153">
                  <c:v>13586.826114414815</c:v>
                </c:pt>
                <c:pt idx="154">
                  <c:v>13586.826114414815</c:v>
                </c:pt>
                <c:pt idx="156">
                  <c:v>0</c:v>
                </c:pt>
                <c:pt idx="157">
                  <c:v>1116</c:v>
                </c:pt>
                <c:pt idx="158">
                  <c:v>13880</c:v>
                </c:pt>
                <c:pt idx="160">
                  <c:v>0</c:v>
                </c:pt>
                <c:pt idx="161">
                  <c:v>13880</c:v>
                </c:pt>
                <c:pt idx="163">
                  <c:v>0</c:v>
                </c:pt>
                <c:pt idx="164">
                  <c:v>13880</c:v>
                </c:pt>
                <c:pt idx="166">
                  <c:v>0</c:v>
                </c:pt>
                <c:pt idx="167">
                  <c:v>13880</c:v>
                </c:pt>
                <c:pt idx="169">
                  <c:v>0</c:v>
                </c:pt>
                <c:pt idx="170">
                  <c:v>13880</c:v>
                </c:pt>
                <c:pt idx="172">
                  <c:v>0</c:v>
                </c:pt>
                <c:pt idx="173">
                  <c:v>13880</c:v>
                </c:pt>
                <c:pt idx="175">
                  <c:v>0</c:v>
                </c:pt>
                <c:pt idx="176">
                  <c:v>13880</c:v>
                </c:pt>
                <c:pt idx="178">
                  <c:v>0</c:v>
                </c:pt>
                <c:pt idx="179">
                  <c:v>13880</c:v>
                </c:pt>
                <c:pt idx="181">
                  <c:v>0</c:v>
                </c:pt>
                <c:pt idx="182">
                  <c:v>13880</c:v>
                </c:pt>
                <c:pt idx="184">
                  <c:v>0</c:v>
                </c:pt>
                <c:pt idx="185">
                  <c:v>13880</c:v>
                </c:pt>
                <c:pt idx="187">
                  <c:v>0</c:v>
                </c:pt>
                <c:pt idx="188">
                  <c:v>13880</c:v>
                </c:pt>
                <c:pt idx="190">
                  <c:v>0</c:v>
                </c:pt>
                <c:pt idx="191">
                  <c:v>13880</c:v>
                </c:pt>
                <c:pt idx="193">
                  <c:v>0</c:v>
                </c:pt>
                <c:pt idx="194">
                  <c:v>13880</c:v>
                </c:pt>
                <c:pt idx="196">
                  <c:v>0</c:v>
                </c:pt>
                <c:pt idx="197">
                  <c:v>13880</c:v>
                </c:pt>
                <c:pt idx="199">
                  <c:v>0</c:v>
                </c:pt>
                <c:pt idx="200">
                  <c:v>13880</c:v>
                </c:pt>
                <c:pt idx="202">
                  <c:v>0</c:v>
                </c:pt>
                <c:pt idx="203">
                  <c:v>13880</c:v>
                </c:pt>
                <c:pt idx="205">
                  <c:v>0</c:v>
                </c:pt>
                <c:pt idx="206">
                  <c:v>13880</c:v>
                </c:pt>
                <c:pt idx="208">
                  <c:v>0</c:v>
                </c:pt>
                <c:pt idx="209">
                  <c:v>13880</c:v>
                </c:pt>
                <c:pt idx="211">
                  <c:v>0</c:v>
                </c:pt>
                <c:pt idx="212">
                  <c:v>13880</c:v>
                </c:pt>
                <c:pt idx="214">
                  <c:v>0</c:v>
                </c:pt>
                <c:pt idx="215">
                  <c:v>13880</c:v>
                </c:pt>
                <c:pt idx="217">
                  <c:v>0</c:v>
                </c:pt>
                <c:pt idx="218">
                  <c:v>13880</c:v>
                </c:pt>
                <c:pt idx="220">
                  <c:v>0</c:v>
                </c:pt>
                <c:pt idx="221">
                  <c:v>13880</c:v>
                </c:pt>
                <c:pt idx="223">
                  <c:v>0</c:v>
                </c:pt>
                <c:pt idx="224">
                  <c:v>13880</c:v>
                </c:pt>
                <c:pt idx="226">
                  <c:v>0</c:v>
                </c:pt>
                <c:pt idx="227">
                  <c:v>13880</c:v>
                </c:pt>
                <c:pt idx="229">
                  <c:v>0</c:v>
                </c:pt>
                <c:pt idx="230">
                  <c:v>13880</c:v>
                </c:pt>
                <c:pt idx="232">
                  <c:v>0</c:v>
                </c:pt>
                <c:pt idx="233">
                  <c:v>13880</c:v>
                </c:pt>
                <c:pt idx="235">
                  <c:v>0</c:v>
                </c:pt>
                <c:pt idx="236">
                  <c:v>13880</c:v>
                </c:pt>
                <c:pt idx="238">
                  <c:v>0</c:v>
                </c:pt>
                <c:pt idx="239">
                  <c:v>13880</c:v>
                </c:pt>
                <c:pt idx="241">
                  <c:v>0</c:v>
                </c:pt>
                <c:pt idx="242">
                  <c:v>13880</c:v>
                </c:pt>
                <c:pt idx="244">
                  <c:v>0</c:v>
                </c:pt>
                <c:pt idx="245">
                  <c:v>13880</c:v>
                </c:pt>
                <c:pt idx="247">
                  <c:v>0</c:v>
                </c:pt>
                <c:pt idx="248">
                  <c:v>13880</c:v>
                </c:pt>
                <c:pt idx="250">
                  <c:v>0</c:v>
                </c:pt>
                <c:pt idx="251">
                  <c:v>13880</c:v>
                </c:pt>
                <c:pt idx="253">
                  <c:v>0</c:v>
                </c:pt>
                <c:pt idx="254">
                  <c:v>13880</c:v>
                </c:pt>
                <c:pt idx="256">
                  <c:v>0</c:v>
                </c:pt>
                <c:pt idx="257">
                  <c:v>13880</c:v>
                </c:pt>
                <c:pt idx="259">
                  <c:v>0</c:v>
                </c:pt>
                <c:pt idx="260">
                  <c:v>13880</c:v>
                </c:pt>
                <c:pt idx="262">
                  <c:v>0</c:v>
                </c:pt>
                <c:pt idx="263">
                  <c:v>13880</c:v>
                </c:pt>
                <c:pt idx="265">
                  <c:v>0</c:v>
                </c:pt>
                <c:pt idx="266">
                  <c:v>13880</c:v>
                </c:pt>
                <c:pt idx="268">
                  <c:v>0</c:v>
                </c:pt>
                <c:pt idx="269">
                  <c:v>13880</c:v>
                </c:pt>
                <c:pt idx="271">
                  <c:v>0</c:v>
                </c:pt>
                <c:pt idx="272">
                  <c:v>13880</c:v>
                </c:pt>
                <c:pt idx="274">
                  <c:v>0</c:v>
                </c:pt>
                <c:pt idx="275">
                  <c:v>13880</c:v>
                </c:pt>
                <c:pt idx="277">
                  <c:v>0</c:v>
                </c:pt>
                <c:pt idx="278">
                  <c:v>13880</c:v>
                </c:pt>
                <c:pt idx="280">
                  <c:v>0</c:v>
                </c:pt>
                <c:pt idx="281">
                  <c:v>13880</c:v>
                </c:pt>
              </c:numCache>
            </c:numRef>
          </c:xVal>
          <c:yVal>
            <c:numRef>
              <c:f>Graph_Data!$L$11:$L$292</c:f>
              <c:numCache>
                <c:ptCount val="282"/>
                <c:pt idx="150">
                  <c:v>-1.3010299956639813</c:v>
                </c:pt>
                <c:pt idx="151">
                  <c:v>-1.3010299956639813</c:v>
                </c:pt>
              </c:numCache>
            </c:numRef>
          </c:yVal>
          <c:smooth val="0"/>
        </c:ser>
        <c:ser>
          <c:idx val="2"/>
          <c:order val="7"/>
          <c:tx>
            <c:strRef>
              <c:f>Graph_Data!$M$7</c:f>
              <c:strCache>
                <c:ptCount val="1"/>
                <c:pt idx="0">
                  <c:v>1mBG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Graph_Data!$E$11:$E$292</c:f>
              <c:numCache>
                <c:ptCount val="282"/>
                <c:pt idx="0">
                  <c:v>145</c:v>
                </c:pt>
                <c:pt idx="1">
                  <c:v>145</c:v>
                </c:pt>
                <c:pt idx="2">
                  <c:v>145</c:v>
                </c:pt>
                <c:pt idx="3">
                  <c:v>145</c:v>
                </c:pt>
                <c:pt idx="4">
                  <c:v>145</c:v>
                </c:pt>
                <c:pt idx="5">
                  <c:v>145</c:v>
                </c:pt>
                <c:pt idx="6">
                  <c:v>145</c:v>
                </c:pt>
                <c:pt idx="7">
                  <c:v>145</c:v>
                </c:pt>
                <c:pt idx="8">
                  <c:v>145</c:v>
                </c:pt>
                <c:pt idx="9">
                  <c:v>145</c:v>
                </c:pt>
                <c:pt idx="10">
                  <c:v>145</c:v>
                </c:pt>
                <c:pt idx="11">
                  <c:v>145</c:v>
                </c:pt>
                <c:pt idx="12">
                  <c:v>145</c:v>
                </c:pt>
                <c:pt idx="13">
                  <c:v>145</c:v>
                </c:pt>
                <c:pt idx="15">
                  <c:v>260</c:v>
                </c:pt>
                <c:pt idx="16">
                  <c:v>260</c:v>
                </c:pt>
                <c:pt idx="17">
                  <c:v>260</c:v>
                </c:pt>
                <c:pt idx="18">
                  <c:v>260</c:v>
                </c:pt>
                <c:pt idx="19">
                  <c:v>260</c:v>
                </c:pt>
                <c:pt idx="20">
                  <c:v>260</c:v>
                </c:pt>
                <c:pt idx="21">
                  <c:v>260</c:v>
                </c:pt>
                <c:pt idx="22">
                  <c:v>260</c:v>
                </c:pt>
                <c:pt idx="23">
                  <c:v>260</c:v>
                </c:pt>
                <c:pt idx="24">
                  <c:v>260</c:v>
                </c:pt>
                <c:pt idx="25">
                  <c:v>260</c:v>
                </c:pt>
                <c:pt idx="26">
                  <c:v>260</c:v>
                </c:pt>
                <c:pt idx="27">
                  <c:v>260</c:v>
                </c:pt>
                <c:pt idx="28">
                  <c:v>260</c:v>
                </c:pt>
                <c:pt idx="30">
                  <c:v>373</c:v>
                </c:pt>
                <c:pt idx="31">
                  <c:v>373</c:v>
                </c:pt>
                <c:pt idx="32">
                  <c:v>373</c:v>
                </c:pt>
                <c:pt idx="33">
                  <c:v>373</c:v>
                </c:pt>
                <c:pt idx="34">
                  <c:v>373</c:v>
                </c:pt>
                <c:pt idx="35">
                  <c:v>373</c:v>
                </c:pt>
                <c:pt idx="36">
                  <c:v>373</c:v>
                </c:pt>
                <c:pt idx="37">
                  <c:v>373</c:v>
                </c:pt>
                <c:pt idx="38">
                  <c:v>373</c:v>
                </c:pt>
                <c:pt idx="39">
                  <c:v>373</c:v>
                </c:pt>
                <c:pt idx="40">
                  <c:v>373</c:v>
                </c:pt>
                <c:pt idx="41">
                  <c:v>373</c:v>
                </c:pt>
                <c:pt idx="42">
                  <c:v>373</c:v>
                </c:pt>
                <c:pt idx="43">
                  <c:v>373</c:v>
                </c:pt>
                <c:pt idx="45">
                  <c:v>442</c:v>
                </c:pt>
                <c:pt idx="46">
                  <c:v>442</c:v>
                </c:pt>
                <c:pt idx="47">
                  <c:v>442</c:v>
                </c:pt>
                <c:pt idx="48">
                  <c:v>442</c:v>
                </c:pt>
                <c:pt idx="49">
                  <c:v>442</c:v>
                </c:pt>
                <c:pt idx="50">
                  <c:v>442</c:v>
                </c:pt>
                <c:pt idx="51">
                  <c:v>442</c:v>
                </c:pt>
                <c:pt idx="52">
                  <c:v>442</c:v>
                </c:pt>
                <c:pt idx="53">
                  <c:v>442</c:v>
                </c:pt>
                <c:pt idx="54">
                  <c:v>442</c:v>
                </c:pt>
                <c:pt idx="55">
                  <c:v>442</c:v>
                </c:pt>
                <c:pt idx="56">
                  <c:v>442</c:v>
                </c:pt>
                <c:pt idx="57">
                  <c:v>442</c:v>
                </c:pt>
                <c:pt idx="58">
                  <c:v>442</c:v>
                </c:pt>
                <c:pt idx="60">
                  <c:v>576</c:v>
                </c:pt>
                <c:pt idx="61">
                  <c:v>576</c:v>
                </c:pt>
                <c:pt idx="62">
                  <c:v>576</c:v>
                </c:pt>
                <c:pt idx="63">
                  <c:v>576</c:v>
                </c:pt>
                <c:pt idx="64">
                  <c:v>576</c:v>
                </c:pt>
                <c:pt idx="65">
                  <c:v>576</c:v>
                </c:pt>
                <c:pt idx="66">
                  <c:v>576</c:v>
                </c:pt>
                <c:pt idx="67">
                  <c:v>576</c:v>
                </c:pt>
                <c:pt idx="68">
                  <c:v>576</c:v>
                </c:pt>
                <c:pt idx="69">
                  <c:v>576</c:v>
                </c:pt>
                <c:pt idx="70">
                  <c:v>576</c:v>
                </c:pt>
                <c:pt idx="71">
                  <c:v>576</c:v>
                </c:pt>
                <c:pt idx="72">
                  <c:v>576</c:v>
                </c:pt>
                <c:pt idx="73">
                  <c:v>576</c:v>
                </c:pt>
                <c:pt idx="75">
                  <c:v>623</c:v>
                </c:pt>
                <c:pt idx="76">
                  <c:v>623</c:v>
                </c:pt>
                <c:pt idx="77">
                  <c:v>623</c:v>
                </c:pt>
                <c:pt idx="78">
                  <c:v>623</c:v>
                </c:pt>
                <c:pt idx="79">
                  <c:v>623</c:v>
                </c:pt>
                <c:pt idx="80">
                  <c:v>623</c:v>
                </c:pt>
                <c:pt idx="81">
                  <c:v>623</c:v>
                </c:pt>
                <c:pt idx="82">
                  <c:v>623</c:v>
                </c:pt>
                <c:pt idx="83">
                  <c:v>623</c:v>
                </c:pt>
                <c:pt idx="84">
                  <c:v>623</c:v>
                </c:pt>
                <c:pt idx="85">
                  <c:v>623</c:v>
                </c:pt>
                <c:pt idx="86">
                  <c:v>623</c:v>
                </c:pt>
                <c:pt idx="87">
                  <c:v>623</c:v>
                </c:pt>
                <c:pt idx="88">
                  <c:v>623</c:v>
                </c:pt>
                <c:pt idx="90">
                  <c:v>743</c:v>
                </c:pt>
                <c:pt idx="91">
                  <c:v>743</c:v>
                </c:pt>
                <c:pt idx="92">
                  <c:v>743</c:v>
                </c:pt>
                <c:pt idx="93">
                  <c:v>743</c:v>
                </c:pt>
                <c:pt idx="94">
                  <c:v>743</c:v>
                </c:pt>
                <c:pt idx="95">
                  <c:v>743</c:v>
                </c:pt>
                <c:pt idx="96">
                  <c:v>743</c:v>
                </c:pt>
                <c:pt idx="97">
                  <c:v>743</c:v>
                </c:pt>
                <c:pt idx="98">
                  <c:v>743</c:v>
                </c:pt>
                <c:pt idx="99">
                  <c:v>743</c:v>
                </c:pt>
                <c:pt idx="100">
                  <c:v>743</c:v>
                </c:pt>
                <c:pt idx="101">
                  <c:v>743</c:v>
                </c:pt>
                <c:pt idx="102">
                  <c:v>743</c:v>
                </c:pt>
                <c:pt idx="103">
                  <c:v>743</c:v>
                </c:pt>
                <c:pt idx="105">
                  <c:v>820</c:v>
                </c:pt>
                <c:pt idx="106">
                  <c:v>820</c:v>
                </c:pt>
                <c:pt idx="107">
                  <c:v>820</c:v>
                </c:pt>
                <c:pt idx="108">
                  <c:v>820</c:v>
                </c:pt>
                <c:pt idx="109">
                  <c:v>820</c:v>
                </c:pt>
                <c:pt idx="110">
                  <c:v>820</c:v>
                </c:pt>
                <c:pt idx="111">
                  <c:v>820</c:v>
                </c:pt>
                <c:pt idx="112">
                  <c:v>820</c:v>
                </c:pt>
                <c:pt idx="113">
                  <c:v>820</c:v>
                </c:pt>
                <c:pt idx="114">
                  <c:v>820</c:v>
                </c:pt>
                <c:pt idx="115">
                  <c:v>820</c:v>
                </c:pt>
                <c:pt idx="116">
                  <c:v>820</c:v>
                </c:pt>
                <c:pt idx="117">
                  <c:v>820</c:v>
                </c:pt>
                <c:pt idx="118">
                  <c:v>820</c:v>
                </c:pt>
                <c:pt idx="120">
                  <c:v>883</c:v>
                </c:pt>
                <c:pt idx="121">
                  <c:v>883</c:v>
                </c:pt>
                <c:pt idx="122">
                  <c:v>883</c:v>
                </c:pt>
                <c:pt idx="123">
                  <c:v>883</c:v>
                </c:pt>
                <c:pt idx="124">
                  <c:v>883</c:v>
                </c:pt>
                <c:pt idx="125">
                  <c:v>883</c:v>
                </c:pt>
                <c:pt idx="126">
                  <c:v>883</c:v>
                </c:pt>
                <c:pt idx="127">
                  <c:v>883</c:v>
                </c:pt>
                <c:pt idx="128">
                  <c:v>883</c:v>
                </c:pt>
                <c:pt idx="129">
                  <c:v>883</c:v>
                </c:pt>
                <c:pt idx="130">
                  <c:v>883</c:v>
                </c:pt>
                <c:pt idx="131">
                  <c:v>883</c:v>
                </c:pt>
                <c:pt idx="132">
                  <c:v>883</c:v>
                </c:pt>
                <c:pt idx="133">
                  <c:v>883</c:v>
                </c:pt>
                <c:pt idx="135">
                  <c:v>967</c:v>
                </c:pt>
                <c:pt idx="136">
                  <c:v>967</c:v>
                </c:pt>
                <c:pt idx="137">
                  <c:v>967</c:v>
                </c:pt>
                <c:pt idx="138">
                  <c:v>967</c:v>
                </c:pt>
                <c:pt idx="139">
                  <c:v>967</c:v>
                </c:pt>
                <c:pt idx="140">
                  <c:v>967</c:v>
                </c:pt>
                <c:pt idx="141">
                  <c:v>967</c:v>
                </c:pt>
                <c:pt idx="142">
                  <c:v>967</c:v>
                </c:pt>
                <c:pt idx="143">
                  <c:v>967</c:v>
                </c:pt>
                <c:pt idx="144">
                  <c:v>967</c:v>
                </c:pt>
                <c:pt idx="145">
                  <c:v>967</c:v>
                </c:pt>
                <c:pt idx="146">
                  <c:v>967</c:v>
                </c:pt>
                <c:pt idx="147">
                  <c:v>967</c:v>
                </c:pt>
                <c:pt idx="148">
                  <c:v>967</c:v>
                </c:pt>
                <c:pt idx="150">
                  <c:v>0</c:v>
                </c:pt>
                <c:pt idx="151">
                  <c:v>13880</c:v>
                </c:pt>
                <c:pt idx="153">
                  <c:v>13586.826114414815</c:v>
                </c:pt>
                <c:pt idx="154">
                  <c:v>13586.826114414815</c:v>
                </c:pt>
                <c:pt idx="156">
                  <c:v>0</c:v>
                </c:pt>
                <c:pt idx="157">
                  <c:v>1116</c:v>
                </c:pt>
                <c:pt idx="158">
                  <c:v>13880</c:v>
                </c:pt>
                <c:pt idx="160">
                  <c:v>0</c:v>
                </c:pt>
                <c:pt idx="161">
                  <c:v>13880</c:v>
                </c:pt>
                <c:pt idx="163">
                  <c:v>0</c:v>
                </c:pt>
                <c:pt idx="164">
                  <c:v>13880</c:v>
                </c:pt>
                <c:pt idx="166">
                  <c:v>0</c:v>
                </c:pt>
                <c:pt idx="167">
                  <c:v>13880</c:v>
                </c:pt>
                <c:pt idx="169">
                  <c:v>0</c:v>
                </c:pt>
                <c:pt idx="170">
                  <c:v>13880</c:v>
                </c:pt>
                <c:pt idx="172">
                  <c:v>0</c:v>
                </c:pt>
                <c:pt idx="173">
                  <c:v>13880</c:v>
                </c:pt>
                <c:pt idx="175">
                  <c:v>0</c:v>
                </c:pt>
                <c:pt idx="176">
                  <c:v>13880</c:v>
                </c:pt>
                <c:pt idx="178">
                  <c:v>0</c:v>
                </c:pt>
                <c:pt idx="179">
                  <c:v>13880</c:v>
                </c:pt>
                <c:pt idx="181">
                  <c:v>0</c:v>
                </c:pt>
                <c:pt idx="182">
                  <c:v>13880</c:v>
                </c:pt>
                <c:pt idx="184">
                  <c:v>0</c:v>
                </c:pt>
                <c:pt idx="185">
                  <c:v>13880</c:v>
                </c:pt>
                <c:pt idx="187">
                  <c:v>0</c:v>
                </c:pt>
                <c:pt idx="188">
                  <c:v>13880</c:v>
                </c:pt>
                <c:pt idx="190">
                  <c:v>0</c:v>
                </c:pt>
                <c:pt idx="191">
                  <c:v>13880</c:v>
                </c:pt>
                <c:pt idx="193">
                  <c:v>0</c:v>
                </c:pt>
                <c:pt idx="194">
                  <c:v>13880</c:v>
                </c:pt>
                <c:pt idx="196">
                  <c:v>0</c:v>
                </c:pt>
                <c:pt idx="197">
                  <c:v>13880</c:v>
                </c:pt>
                <c:pt idx="199">
                  <c:v>0</c:v>
                </c:pt>
                <c:pt idx="200">
                  <c:v>13880</c:v>
                </c:pt>
                <c:pt idx="202">
                  <c:v>0</c:v>
                </c:pt>
                <c:pt idx="203">
                  <c:v>13880</c:v>
                </c:pt>
                <c:pt idx="205">
                  <c:v>0</c:v>
                </c:pt>
                <c:pt idx="206">
                  <c:v>13880</c:v>
                </c:pt>
                <c:pt idx="208">
                  <c:v>0</c:v>
                </c:pt>
                <c:pt idx="209">
                  <c:v>13880</c:v>
                </c:pt>
                <c:pt idx="211">
                  <c:v>0</c:v>
                </c:pt>
                <c:pt idx="212">
                  <c:v>13880</c:v>
                </c:pt>
                <c:pt idx="214">
                  <c:v>0</c:v>
                </c:pt>
                <c:pt idx="215">
                  <c:v>13880</c:v>
                </c:pt>
                <c:pt idx="217">
                  <c:v>0</c:v>
                </c:pt>
                <c:pt idx="218">
                  <c:v>13880</c:v>
                </c:pt>
                <c:pt idx="220">
                  <c:v>0</c:v>
                </c:pt>
                <c:pt idx="221">
                  <c:v>13880</c:v>
                </c:pt>
                <c:pt idx="223">
                  <c:v>0</c:v>
                </c:pt>
                <c:pt idx="224">
                  <c:v>13880</c:v>
                </c:pt>
                <c:pt idx="226">
                  <c:v>0</c:v>
                </c:pt>
                <c:pt idx="227">
                  <c:v>13880</c:v>
                </c:pt>
                <c:pt idx="229">
                  <c:v>0</c:v>
                </c:pt>
                <c:pt idx="230">
                  <c:v>13880</c:v>
                </c:pt>
                <c:pt idx="232">
                  <c:v>0</c:v>
                </c:pt>
                <c:pt idx="233">
                  <c:v>13880</c:v>
                </c:pt>
                <c:pt idx="235">
                  <c:v>0</c:v>
                </c:pt>
                <c:pt idx="236">
                  <c:v>13880</c:v>
                </c:pt>
                <c:pt idx="238">
                  <c:v>0</c:v>
                </c:pt>
                <c:pt idx="239">
                  <c:v>13880</c:v>
                </c:pt>
                <c:pt idx="241">
                  <c:v>0</c:v>
                </c:pt>
                <c:pt idx="242">
                  <c:v>13880</c:v>
                </c:pt>
                <c:pt idx="244">
                  <c:v>0</c:v>
                </c:pt>
                <c:pt idx="245">
                  <c:v>13880</c:v>
                </c:pt>
                <c:pt idx="247">
                  <c:v>0</c:v>
                </c:pt>
                <c:pt idx="248">
                  <c:v>13880</c:v>
                </c:pt>
                <c:pt idx="250">
                  <c:v>0</c:v>
                </c:pt>
                <c:pt idx="251">
                  <c:v>13880</c:v>
                </c:pt>
                <c:pt idx="253">
                  <c:v>0</c:v>
                </c:pt>
                <c:pt idx="254">
                  <c:v>13880</c:v>
                </c:pt>
                <c:pt idx="256">
                  <c:v>0</c:v>
                </c:pt>
                <c:pt idx="257">
                  <c:v>13880</c:v>
                </c:pt>
                <c:pt idx="259">
                  <c:v>0</c:v>
                </c:pt>
                <c:pt idx="260">
                  <c:v>13880</c:v>
                </c:pt>
                <c:pt idx="262">
                  <c:v>0</c:v>
                </c:pt>
                <c:pt idx="263">
                  <c:v>13880</c:v>
                </c:pt>
                <c:pt idx="265">
                  <c:v>0</c:v>
                </c:pt>
                <c:pt idx="266">
                  <c:v>13880</c:v>
                </c:pt>
                <c:pt idx="268">
                  <c:v>0</c:v>
                </c:pt>
                <c:pt idx="269">
                  <c:v>13880</c:v>
                </c:pt>
                <c:pt idx="271">
                  <c:v>0</c:v>
                </c:pt>
                <c:pt idx="272">
                  <c:v>13880</c:v>
                </c:pt>
                <c:pt idx="274">
                  <c:v>0</c:v>
                </c:pt>
                <c:pt idx="275">
                  <c:v>13880</c:v>
                </c:pt>
                <c:pt idx="277">
                  <c:v>0</c:v>
                </c:pt>
                <c:pt idx="278">
                  <c:v>13880</c:v>
                </c:pt>
                <c:pt idx="280">
                  <c:v>0</c:v>
                </c:pt>
                <c:pt idx="281">
                  <c:v>13880</c:v>
                </c:pt>
              </c:numCache>
            </c:numRef>
          </c:xVal>
          <c:yVal>
            <c:numRef>
              <c:f>Graph_Data!$M$11:$M$292</c:f>
              <c:numCache>
                <c:ptCount val="282"/>
                <c:pt idx="153">
                  <c:v>5</c:v>
                </c:pt>
                <c:pt idx="154">
                  <c:v>-5</c:v>
                </c:pt>
              </c:numCache>
            </c:numRef>
          </c:yVal>
          <c:smooth val="0"/>
        </c:ser>
        <c:ser>
          <c:idx val="3"/>
          <c:order val="8"/>
          <c:tx>
            <c:strRef>
              <c:f>Graph_Data!$N$7</c:f>
              <c:strCache>
                <c:ptCount val="1"/>
                <c:pt idx="0">
                  <c:v>Cs-137の減衰</c:v>
                </c:pt>
              </c:strCache>
            </c:strRef>
          </c:tx>
          <c:spPr>
            <a:ln w="254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Graph_Data!$E$11:$E$292</c:f>
              <c:numCache>
                <c:ptCount val="282"/>
                <c:pt idx="0">
                  <c:v>145</c:v>
                </c:pt>
                <c:pt idx="1">
                  <c:v>145</c:v>
                </c:pt>
                <c:pt idx="2">
                  <c:v>145</c:v>
                </c:pt>
                <c:pt idx="3">
                  <c:v>145</c:v>
                </c:pt>
                <c:pt idx="4">
                  <c:v>145</c:v>
                </c:pt>
                <c:pt idx="5">
                  <c:v>145</c:v>
                </c:pt>
                <c:pt idx="6">
                  <c:v>145</c:v>
                </c:pt>
                <c:pt idx="7">
                  <c:v>145</c:v>
                </c:pt>
                <c:pt idx="8">
                  <c:v>145</c:v>
                </c:pt>
                <c:pt idx="9">
                  <c:v>145</c:v>
                </c:pt>
                <c:pt idx="10">
                  <c:v>145</c:v>
                </c:pt>
                <c:pt idx="11">
                  <c:v>145</c:v>
                </c:pt>
                <c:pt idx="12">
                  <c:v>145</c:v>
                </c:pt>
                <c:pt idx="13">
                  <c:v>145</c:v>
                </c:pt>
                <c:pt idx="15">
                  <c:v>260</c:v>
                </c:pt>
                <c:pt idx="16">
                  <c:v>260</c:v>
                </c:pt>
                <c:pt idx="17">
                  <c:v>260</c:v>
                </c:pt>
                <c:pt idx="18">
                  <c:v>260</c:v>
                </c:pt>
                <c:pt idx="19">
                  <c:v>260</c:v>
                </c:pt>
                <c:pt idx="20">
                  <c:v>260</c:v>
                </c:pt>
                <c:pt idx="21">
                  <c:v>260</c:v>
                </c:pt>
                <c:pt idx="22">
                  <c:v>260</c:v>
                </c:pt>
                <c:pt idx="23">
                  <c:v>260</c:v>
                </c:pt>
                <c:pt idx="24">
                  <c:v>260</c:v>
                </c:pt>
                <c:pt idx="25">
                  <c:v>260</c:v>
                </c:pt>
                <c:pt idx="26">
                  <c:v>260</c:v>
                </c:pt>
                <c:pt idx="27">
                  <c:v>260</c:v>
                </c:pt>
                <c:pt idx="28">
                  <c:v>260</c:v>
                </c:pt>
                <c:pt idx="30">
                  <c:v>373</c:v>
                </c:pt>
                <c:pt idx="31">
                  <c:v>373</c:v>
                </c:pt>
                <c:pt idx="32">
                  <c:v>373</c:v>
                </c:pt>
                <c:pt idx="33">
                  <c:v>373</c:v>
                </c:pt>
                <c:pt idx="34">
                  <c:v>373</c:v>
                </c:pt>
                <c:pt idx="35">
                  <c:v>373</c:v>
                </c:pt>
                <c:pt idx="36">
                  <c:v>373</c:v>
                </c:pt>
                <c:pt idx="37">
                  <c:v>373</c:v>
                </c:pt>
                <c:pt idx="38">
                  <c:v>373</c:v>
                </c:pt>
                <c:pt idx="39">
                  <c:v>373</c:v>
                </c:pt>
                <c:pt idx="40">
                  <c:v>373</c:v>
                </c:pt>
                <c:pt idx="41">
                  <c:v>373</c:v>
                </c:pt>
                <c:pt idx="42">
                  <c:v>373</c:v>
                </c:pt>
                <c:pt idx="43">
                  <c:v>373</c:v>
                </c:pt>
                <c:pt idx="45">
                  <c:v>442</c:v>
                </c:pt>
                <c:pt idx="46">
                  <c:v>442</c:v>
                </c:pt>
                <c:pt idx="47">
                  <c:v>442</c:v>
                </c:pt>
                <c:pt idx="48">
                  <c:v>442</c:v>
                </c:pt>
                <c:pt idx="49">
                  <c:v>442</c:v>
                </c:pt>
                <c:pt idx="50">
                  <c:v>442</c:v>
                </c:pt>
                <c:pt idx="51">
                  <c:v>442</c:v>
                </c:pt>
                <c:pt idx="52">
                  <c:v>442</c:v>
                </c:pt>
                <c:pt idx="53">
                  <c:v>442</c:v>
                </c:pt>
                <c:pt idx="54">
                  <c:v>442</c:v>
                </c:pt>
                <c:pt idx="55">
                  <c:v>442</c:v>
                </c:pt>
                <c:pt idx="56">
                  <c:v>442</c:v>
                </c:pt>
                <c:pt idx="57">
                  <c:v>442</c:v>
                </c:pt>
                <c:pt idx="58">
                  <c:v>442</c:v>
                </c:pt>
                <c:pt idx="60">
                  <c:v>576</c:v>
                </c:pt>
                <c:pt idx="61">
                  <c:v>576</c:v>
                </c:pt>
                <c:pt idx="62">
                  <c:v>576</c:v>
                </c:pt>
                <c:pt idx="63">
                  <c:v>576</c:v>
                </c:pt>
                <c:pt idx="64">
                  <c:v>576</c:v>
                </c:pt>
                <c:pt idx="65">
                  <c:v>576</c:v>
                </c:pt>
                <c:pt idx="66">
                  <c:v>576</c:v>
                </c:pt>
                <c:pt idx="67">
                  <c:v>576</c:v>
                </c:pt>
                <c:pt idx="68">
                  <c:v>576</c:v>
                </c:pt>
                <c:pt idx="69">
                  <c:v>576</c:v>
                </c:pt>
                <c:pt idx="70">
                  <c:v>576</c:v>
                </c:pt>
                <c:pt idx="71">
                  <c:v>576</c:v>
                </c:pt>
                <c:pt idx="72">
                  <c:v>576</c:v>
                </c:pt>
                <c:pt idx="73">
                  <c:v>576</c:v>
                </c:pt>
                <c:pt idx="75">
                  <c:v>623</c:v>
                </c:pt>
                <c:pt idx="76">
                  <c:v>623</c:v>
                </c:pt>
                <c:pt idx="77">
                  <c:v>623</c:v>
                </c:pt>
                <c:pt idx="78">
                  <c:v>623</c:v>
                </c:pt>
                <c:pt idx="79">
                  <c:v>623</c:v>
                </c:pt>
                <c:pt idx="80">
                  <c:v>623</c:v>
                </c:pt>
                <c:pt idx="81">
                  <c:v>623</c:v>
                </c:pt>
                <c:pt idx="82">
                  <c:v>623</c:v>
                </c:pt>
                <c:pt idx="83">
                  <c:v>623</c:v>
                </c:pt>
                <c:pt idx="84">
                  <c:v>623</c:v>
                </c:pt>
                <c:pt idx="85">
                  <c:v>623</c:v>
                </c:pt>
                <c:pt idx="86">
                  <c:v>623</c:v>
                </c:pt>
                <c:pt idx="87">
                  <c:v>623</c:v>
                </c:pt>
                <c:pt idx="88">
                  <c:v>623</c:v>
                </c:pt>
                <c:pt idx="90">
                  <c:v>743</c:v>
                </c:pt>
                <c:pt idx="91">
                  <c:v>743</c:v>
                </c:pt>
                <c:pt idx="92">
                  <c:v>743</c:v>
                </c:pt>
                <c:pt idx="93">
                  <c:v>743</c:v>
                </c:pt>
                <c:pt idx="94">
                  <c:v>743</c:v>
                </c:pt>
                <c:pt idx="95">
                  <c:v>743</c:v>
                </c:pt>
                <c:pt idx="96">
                  <c:v>743</c:v>
                </c:pt>
                <c:pt idx="97">
                  <c:v>743</c:v>
                </c:pt>
                <c:pt idx="98">
                  <c:v>743</c:v>
                </c:pt>
                <c:pt idx="99">
                  <c:v>743</c:v>
                </c:pt>
                <c:pt idx="100">
                  <c:v>743</c:v>
                </c:pt>
                <c:pt idx="101">
                  <c:v>743</c:v>
                </c:pt>
                <c:pt idx="102">
                  <c:v>743</c:v>
                </c:pt>
                <c:pt idx="103">
                  <c:v>743</c:v>
                </c:pt>
                <c:pt idx="105">
                  <c:v>820</c:v>
                </c:pt>
                <c:pt idx="106">
                  <c:v>820</c:v>
                </c:pt>
                <c:pt idx="107">
                  <c:v>820</c:v>
                </c:pt>
                <c:pt idx="108">
                  <c:v>820</c:v>
                </c:pt>
                <c:pt idx="109">
                  <c:v>820</c:v>
                </c:pt>
                <c:pt idx="110">
                  <c:v>820</c:v>
                </c:pt>
                <c:pt idx="111">
                  <c:v>820</c:v>
                </c:pt>
                <c:pt idx="112">
                  <c:v>820</c:v>
                </c:pt>
                <c:pt idx="113">
                  <c:v>820</c:v>
                </c:pt>
                <c:pt idx="114">
                  <c:v>820</c:v>
                </c:pt>
                <c:pt idx="115">
                  <c:v>820</c:v>
                </c:pt>
                <c:pt idx="116">
                  <c:v>820</c:v>
                </c:pt>
                <c:pt idx="117">
                  <c:v>820</c:v>
                </c:pt>
                <c:pt idx="118">
                  <c:v>820</c:v>
                </c:pt>
                <c:pt idx="120">
                  <c:v>883</c:v>
                </c:pt>
                <c:pt idx="121">
                  <c:v>883</c:v>
                </c:pt>
                <c:pt idx="122">
                  <c:v>883</c:v>
                </c:pt>
                <c:pt idx="123">
                  <c:v>883</c:v>
                </c:pt>
                <c:pt idx="124">
                  <c:v>883</c:v>
                </c:pt>
                <c:pt idx="125">
                  <c:v>883</c:v>
                </c:pt>
                <c:pt idx="126">
                  <c:v>883</c:v>
                </c:pt>
                <c:pt idx="127">
                  <c:v>883</c:v>
                </c:pt>
                <c:pt idx="128">
                  <c:v>883</c:v>
                </c:pt>
                <c:pt idx="129">
                  <c:v>883</c:v>
                </c:pt>
                <c:pt idx="130">
                  <c:v>883</c:v>
                </c:pt>
                <c:pt idx="131">
                  <c:v>883</c:v>
                </c:pt>
                <c:pt idx="132">
                  <c:v>883</c:v>
                </c:pt>
                <c:pt idx="133">
                  <c:v>883</c:v>
                </c:pt>
                <c:pt idx="135">
                  <c:v>967</c:v>
                </c:pt>
                <c:pt idx="136">
                  <c:v>967</c:v>
                </c:pt>
                <c:pt idx="137">
                  <c:v>967</c:v>
                </c:pt>
                <c:pt idx="138">
                  <c:v>967</c:v>
                </c:pt>
                <c:pt idx="139">
                  <c:v>967</c:v>
                </c:pt>
                <c:pt idx="140">
                  <c:v>967</c:v>
                </c:pt>
                <c:pt idx="141">
                  <c:v>967</c:v>
                </c:pt>
                <c:pt idx="142">
                  <c:v>967</c:v>
                </c:pt>
                <c:pt idx="143">
                  <c:v>967</c:v>
                </c:pt>
                <c:pt idx="144">
                  <c:v>967</c:v>
                </c:pt>
                <c:pt idx="145">
                  <c:v>967</c:v>
                </c:pt>
                <c:pt idx="146">
                  <c:v>967</c:v>
                </c:pt>
                <c:pt idx="147">
                  <c:v>967</c:v>
                </c:pt>
                <c:pt idx="148">
                  <c:v>967</c:v>
                </c:pt>
                <c:pt idx="150">
                  <c:v>0</c:v>
                </c:pt>
                <c:pt idx="151">
                  <c:v>13880</c:v>
                </c:pt>
                <c:pt idx="153">
                  <c:v>13586.826114414815</c:v>
                </c:pt>
                <c:pt idx="154">
                  <c:v>13586.826114414815</c:v>
                </c:pt>
                <c:pt idx="156">
                  <c:v>0</c:v>
                </c:pt>
                <c:pt idx="157">
                  <c:v>1116</c:v>
                </c:pt>
                <c:pt idx="158">
                  <c:v>13880</c:v>
                </c:pt>
                <c:pt idx="160">
                  <c:v>0</c:v>
                </c:pt>
                <c:pt idx="161">
                  <c:v>13880</c:v>
                </c:pt>
                <c:pt idx="163">
                  <c:v>0</c:v>
                </c:pt>
                <c:pt idx="164">
                  <c:v>13880</c:v>
                </c:pt>
                <c:pt idx="166">
                  <c:v>0</c:v>
                </c:pt>
                <c:pt idx="167">
                  <c:v>13880</c:v>
                </c:pt>
                <c:pt idx="169">
                  <c:v>0</c:v>
                </c:pt>
                <c:pt idx="170">
                  <c:v>13880</c:v>
                </c:pt>
                <c:pt idx="172">
                  <c:v>0</c:v>
                </c:pt>
                <c:pt idx="173">
                  <c:v>13880</c:v>
                </c:pt>
                <c:pt idx="175">
                  <c:v>0</c:v>
                </c:pt>
                <c:pt idx="176">
                  <c:v>13880</c:v>
                </c:pt>
                <c:pt idx="178">
                  <c:v>0</c:v>
                </c:pt>
                <c:pt idx="179">
                  <c:v>13880</c:v>
                </c:pt>
                <c:pt idx="181">
                  <c:v>0</c:v>
                </c:pt>
                <c:pt idx="182">
                  <c:v>13880</c:v>
                </c:pt>
                <c:pt idx="184">
                  <c:v>0</c:v>
                </c:pt>
                <c:pt idx="185">
                  <c:v>13880</c:v>
                </c:pt>
                <c:pt idx="187">
                  <c:v>0</c:v>
                </c:pt>
                <c:pt idx="188">
                  <c:v>13880</c:v>
                </c:pt>
                <c:pt idx="190">
                  <c:v>0</c:v>
                </c:pt>
                <c:pt idx="191">
                  <c:v>13880</c:v>
                </c:pt>
                <c:pt idx="193">
                  <c:v>0</c:v>
                </c:pt>
                <c:pt idx="194">
                  <c:v>13880</c:v>
                </c:pt>
                <c:pt idx="196">
                  <c:v>0</c:v>
                </c:pt>
                <c:pt idx="197">
                  <c:v>13880</c:v>
                </c:pt>
                <c:pt idx="199">
                  <c:v>0</c:v>
                </c:pt>
                <c:pt idx="200">
                  <c:v>13880</c:v>
                </c:pt>
                <c:pt idx="202">
                  <c:v>0</c:v>
                </c:pt>
                <c:pt idx="203">
                  <c:v>13880</c:v>
                </c:pt>
                <c:pt idx="205">
                  <c:v>0</c:v>
                </c:pt>
                <c:pt idx="206">
                  <c:v>13880</c:v>
                </c:pt>
                <c:pt idx="208">
                  <c:v>0</c:v>
                </c:pt>
                <c:pt idx="209">
                  <c:v>13880</c:v>
                </c:pt>
                <c:pt idx="211">
                  <c:v>0</c:v>
                </c:pt>
                <c:pt idx="212">
                  <c:v>13880</c:v>
                </c:pt>
                <c:pt idx="214">
                  <c:v>0</c:v>
                </c:pt>
                <c:pt idx="215">
                  <c:v>13880</c:v>
                </c:pt>
                <c:pt idx="217">
                  <c:v>0</c:v>
                </c:pt>
                <c:pt idx="218">
                  <c:v>13880</c:v>
                </c:pt>
                <c:pt idx="220">
                  <c:v>0</c:v>
                </c:pt>
                <c:pt idx="221">
                  <c:v>13880</c:v>
                </c:pt>
                <c:pt idx="223">
                  <c:v>0</c:v>
                </c:pt>
                <c:pt idx="224">
                  <c:v>13880</c:v>
                </c:pt>
                <c:pt idx="226">
                  <c:v>0</c:v>
                </c:pt>
                <c:pt idx="227">
                  <c:v>13880</c:v>
                </c:pt>
                <c:pt idx="229">
                  <c:v>0</c:v>
                </c:pt>
                <c:pt idx="230">
                  <c:v>13880</c:v>
                </c:pt>
                <c:pt idx="232">
                  <c:v>0</c:v>
                </c:pt>
                <c:pt idx="233">
                  <c:v>13880</c:v>
                </c:pt>
                <c:pt idx="235">
                  <c:v>0</c:v>
                </c:pt>
                <c:pt idx="236">
                  <c:v>13880</c:v>
                </c:pt>
                <c:pt idx="238">
                  <c:v>0</c:v>
                </c:pt>
                <c:pt idx="239">
                  <c:v>13880</c:v>
                </c:pt>
                <c:pt idx="241">
                  <c:v>0</c:v>
                </c:pt>
                <c:pt idx="242">
                  <c:v>13880</c:v>
                </c:pt>
                <c:pt idx="244">
                  <c:v>0</c:v>
                </c:pt>
                <c:pt idx="245">
                  <c:v>13880</c:v>
                </c:pt>
                <c:pt idx="247">
                  <c:v>0</c:v>
                </c:pt>
                <c:pt idx="248">
                  <c:v>13880</c:v>
                </c:pt>
                <c:pt idx="250">
                  <c:v>0</c:v>
                </c:pt>
                <c:pt idx="251">
                  <c:v>13880</c:v>
                </c:pt>
                <c:pt idx="253">
                  <c:v>0</c:v>
                </c:pt>
                <c:pt idx="254">
                  <c:v>13880</c:v>
                </c:pt>
                <c:pt idx="256">
                  <c:v>0</c:v>
                </c:pt>
                <c:pt idx="257">
                  <c:v>13880</c:v>
                </c:pt>
                <c:pt idx="259">
                  <c:v>0</c:v>
                </c:pt>
                <c:pt idx="260">
                  <c:v>13880</c:v>
                </c:pt>
                <c:pt idx="262">
                  <c:v>0</c:v>
                </c:pt>
                <c:pt idx="263">
                  <c:v>13880</c:v>
                </c:pt>
                <c:pt idx="265">
                  <c:v>0</c:v>
                </c:pt>
                <c:pt idx="266">
                  <c:v>13880</c:v>
                </c:pt>
                <c:pt idx="268">
                  <c:v>0</c:v>
                </c:pt>
                <c:pt idx="269">
                  <c:v>13880</c:v>
                </c:pt>
                <c:pt idx="271">
                  <c:v>0</c:v>
                </c:pt>
                <c:pt idx="272">
                  <c:v>13880</c:v>
                </c:pt>
                <c:pt idx="274">
                  <c:v>0</c:v>
                </c:pt>
                <c:pt idx="275">
                  <c:v>13880</c:v>
                </c:pt>
                <c:pt idx="277">
                  <c:v>0</c:v>
                </c:pt>
                <c:pt idx="278">
                  <c:v>13880</c:v>
                </c:pt>
                <c:pt idx="280">
                  <c:v>0</c:v>
                </c:pt>
                <c:pt idx="281">
                  <c:v>13880</c:v>
                </c:pt>
              </c:numCache>
            </c:numRef>
          </c:xVal>
          <c:yVal>
            <c:numRef>
              <c:f>Graph_Data!$N$11:$N$292</c:f>
              <c:numCache>
                <c:ptCount val="282"/>
                <c:pt idx="156">
                  <c:v>1</c:v>
                </c:pt>
                <c:pt idx="157">
                  <c:v>0.9695118000579904</c:v>
                </c:pt>
                <c:pt idx="158">
                  <c:v>0.6208098430151503</c:v>
                </c:pt>
              </c:numCache>
            </c:numRef>
          </c:yVal>
          <c:smooth val="0"/>
        </c:ser>
        <c:ser>
          <c:idx val="4"/>
          <c:order val="9"/>
          <c:tx>
            <c:strRef>
              <c:f>Graph_Data!$O$7</c:f>
              <c:strCache>
                <c:ptCount val="1"/>
                <c:pt idx="0">
                  <c:v>I-131の減衰</c:v>
                </c:pt>
              </c:strCache>
            </c:strRef>
          </c:tx>
          <c:spPr>
            <a:ln w="25400">
              <a:solidFill>
                <a:srgbClr val="99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Graph_Data!$E$11:$E$292</c:f>
              <c:numCache>
                <c:ptCount val="282"/>
                <c:pt idx="0">
                  <c:v>145</c:v>
                </c:pt>
                <c:pt idx="1">
                  <c:v>145</c:v>
                </c:pt>
                <c:pt idx="2">
                  <c:v>145</c:v>
                </c:pt>
                <c:pt idx="3">
                  <c:v>145</c:v>
                </c:pt>
                <c:pt idx="4">
                  <c:v>145</c:v>
                </c:pt>
                <c:pt idx="5">
                  <c:v>145</c:v>
                </c:pt>
                <c:pt idx="6">
                  <c:v>145</c:v>
                </c:pt>
                <c:pt idx="7">
                  <c:v>145</c:v>
                </c:pt>
                <c:pt idx="8">
                  <c:v>145</c:v>
                </c:pt>
                <c:pt idx="9">
                  <c:v>145</c:v>
                </c:pt>
                <c:pt idx="10">
                  <c:v>145</c:v>
                </c:pt>
                <c:pt idx="11">
                  <c:v>145</c:v>
                </c:pt>
                <c:pt idx="12">
                  <c:v>145</c:v>
                </c:pt>
                <c:pt idx="13">
                  <c:v>145</c:v>
                </c:pt>
                <c:pt idx="15">
                  <c:v>260</c:v>
                </c:pt>
                <c:pt idx="16">
                  <c:v>260</c:v>
                </c:pt>
                <c:pt idx="17">
                  <c:v>260</c:v>
                </c:pt>
                <c:pt idx="18">
                  <c:v>260</c:v>
                </c:pt>
                <c:pt idx="19">
                  <c:v>260</c:v>
                </c:pt>
                <c:pt idx="20">
                  <c:v>260</c:v>
                </c:pt>
                <c:pt idx="21">
                  <c:v>260</c:v>
                </c:pt>
                <c:pt idx="22">
                  <c:v>260</c:v>
                </c:pt>
                <c:pt idx="23">
                  <c:v>260</c:v>
                </c:pt>
                <c:pt idx="24">
                  <c:v>260</c:v>
                </c:pt>
                <c:pt idx="25">
                  <c:v>260</c:v>
                </c:pt>
                <c:pt idx="26">
                  <c:v>260</c:v>
                </c:pt>
                <c:pt idx="27">
                  <c:v>260</c:v>
                </c:pt>
                <c:pt idx="28">
                  <c:v>260</c:v>
                </c:pt>
                <c:pt idx="30">
                  <c:v>373</c:v>
                </c:pt>
                <c:pt idx="31">
                  <c:v>373</c:v>
                </c:pt>
                <c:pt idx="32">
                  <c:v>373</c:v>
                </c:pt>
                <c:pt idx="33">
                  <c:v>373</c:v>
                </c:pt>
                <c:pt idx="34">
                  <c:v>373</c:v>
                </c:pt>
                <c:pt idx="35">
                  <c:v>373</c:v>
                </c:pt>
                <c:pt idx="36">
                  <c:v>373</c:v>
                </c:pt>
                <c:pt idx="37">
                  <c:v>373</c:v>
                </c:pt>
                <c:pt idx="38">
                  <c:v>373</c:v>
                </c:pt>
                <c:pt idx="39">
                  <c:v>373</c:v>
                </c:pt>
                <c:pt idx="40">
                  <c:v>373</c:v>
                </c:pt>
                <c:pt idx="41">
                  <c:v>373</c:v>
                </c:pt>
                <c:pt idx="42">
                  <c:v>373</c:v>
                </c:pt>
                <c:pt idx="43">
                  <c:v>373</c:v>
                </c:pt>
                <c:pt idx="45">
                  <c:v>442</c:v>
                </c:pt>
                <c:pt idx="46">
                  <c:v>442</c:v>
                </c:pt>
                <c:pt idx="47">
                  <c:v>442</c:v>
                </c:pt>
                <c:pt idx="48">
                  <c:v>442</c:v>
                </c:pt>
                <c:pt idx="49">
                  <c:v>442</c:v>
                </c:pt>
                <c:pt idx="50">
                  <c:v>442</c:v>
                </c:pt>
                <c:pt idx="51">
                  <c:v>442</c:v>
                </c:pt>
                <c:pt idx="52">
                  <c:v>442</c:v>
                </c:pt>
                <c:pt idx="53">
                  <c:v>442</c:v>
                </c:pt>
                <c:pt idx="54">
                  <c:v>442</c:v>
                </c:pt>
                <c:pt idx="55">
                  <c:v>442</c:v>
                </c:pt>
                <c:pt idx="56">
                  <c:v>442</c:v>
                </c:pt>
                <c:pt idx="57">
                  <c:v>442</c:v>
                </c:pt>
                <c:pt idx="58">
                  <c:v>442</c:v>
                </c:pt>
                <c:pt idx="60">
                  <c:v>576</c:v>
                </c:pt>
                <c:pt idx="61">
                  <c:v>576</c:v>
                </c:pt>
                <c:pt idx="62">
                  <c:v>576</c:v>
                </c:pt>
                <c:pt idx="63">
                  <c:v>576</c:v>
                </c:pt>
                <c:pt idx="64">
                  <c:v>576</c:v>
                </c:pt>
                <c:pt idx="65">
                  <c:v>576</c:v>
                </c:pt>
                <c:pt idx="66">
                  <c:v>576</c:v>
                </c:pt>
                <c:pt idx="67">
                  <c:v>576</c:v>
                </c:pt>
                <c:pt idx="68">
                  <c:v>576</c:v>
                </c:pt>
                <c:pt idx="69">
                  <c:v>576</c:v>
                </c:pt>
                <c:pt idx="70">
                  <c:v>576</c:v>
                </c:pt>
                <c:pt idx="71">
                  <c:v>576</c:v>
                </c:pt>
                <c:pt idx="72">
                  <c:v>576</c:v>
                </c:pt>
                <c:pt idx="73">
                  <c:v>576</c:v>
                </c:pt>
                <c:pt idx="75">
                  <c:v>623</c:v>
                </c:pt>
                <c:pt idx="76">
                  <c:v>623</c:v>
                </c:pt>
                <c:pt idx="77">
                  <c:v>623</c:v>
                </c:pt>
                <c:pt idx="78">
                  <c:v>623</c:v>
                </c:pt>
                <c:pt idx="79">
                  <c:v>623</c:v>
                </c:pt>
                <c:pt idx="80">
                  <c:v>623</c:v>
                </c:pt>
                <c:pt idx="81">
                  <c:v>623</c:v>
                </c:pt>
                <c:pt idx="82">
                  <c:v>623</c:v>
                </c:pt>
                <c:pt idx="83">
                  <c:v>623</c:v>
                </c:pt>
                <c:pt idx="84">
                  <c:v>623</c:v>
                </c:pt>
                <c:pt idx="85">
                  <c:v>623</c:v>
                </c:pt>
                <c:pt idx="86">
                  <c:v>623</c:v>
                </c:pt>
                <c:pt idx="87">
                  <c:v>623</c:v>
                </c:pt>
                <c:pt idx="88">
                  <c:v>623</c:v>
                </c:pt>
                <c:pt idx="90">
                  <c:v>743</c:v>
                </c:pt>
                <c:pt idx="91">
                  <c:v>743</c:v>
                </c:pt>
                <c:pt idx="92">
                  <c:v>743</c:v>
                </c:pt>
                <c:pt idx="93">
                  <c:v>743</c:v>
                </c:pt>
                <c:pt idx="94">
                  <c:v>743</c:v>
                </c:pt>
                <c:pt idx="95">
                  <c:v>743</c:v>
                </c:pt>
                <c:pt idx="96">
                  <c:v>743</c:v>
                </c:pt>
                <c:pt idx="97">
                  <c:v>743</c:v>
                </c:pt>
                <c:pt idx="98">
                  <c:v>743</c:v>
                </c:pt>
                <c:pt idx="99">
                  <c:v>743</c:v>
                </c:pt>
                <c:pt idx="100">
                  <c:v>743</c:v>
                </c:pt>
                <c:pt idx="101">
                  <c:v>743</c:v>
                </c:pt>
                <c:pt idx="102">
                  <c:v>743</c:v>
                </c:pt>
                <c:pt idx="103">
                  <c:v>743</c:v>
                </c:pt>
                <c:pt idx="105">
                  <c:v>820</c:v>
                </c:pt>
                <c:pt idx="106">
                  <c:v>820</c:v>
                </c:pt>
                <c:pt idx="107">
                  <c:v>820</c:v>
                </c:pt>
                <c:pt idx="108">
                  <c:v>820</c:v>
                </c:pt>
                <c:pt idx="109">
                  <c:v>820</c:v>
                </c:pt>
                <c:pt idx="110">
                  <c:v>820</c:v>
                </c:pt>
                <c:pt idx="111">
                  <c:v>820</c:v>
                </c:pt>
                <c:pt idx="112">
                  <c:v>820</c:v>
                </c:pt>
                <c:pt idx="113">
                  <c:v>820</c:v>
                </c:pt>
                <c:pt idx="114">
                  <c:v>820</c:v>
                </c:pt>
                <c:pt idx="115">
                  <c:v>820</c:v>
                </c:pt>
                <c:pt idx="116">
                  <c:v>820</c:v>
                </c:pt>
                <c:pt idx="117">
                  <c:v>820</c:v>
                </c:pt>
                <c:pt idx="118">
                  <c:v>820</c:v>
                </c:pt>
                <c:pt idx="120">
                  <c:v>883</c:v>
                </c:pt>
                <c:pt idx="121">
                  <c:v>883</c:v>
                </c:pt>
                <c:pt idx="122">
                  <c:v>883</c:v>
                </c:pt>
                <c:pt idx="123">
                  <c:v>883</c:v>
                </c:pt>
                <c:pt idx="124">
                  <c:v>883</c:v>
                </c:pt>
                <c:pt idx="125">
                  <c:v>883</c:v>
                </c:pt>
                <c:pt idx="126">
                  <c:v>883</c:v>
                </c:pt>
                <c:pt idx="127">
                  <c:v>883</c:v>
                </c:pt>
                <c:pt idx="128">
                  <c:v>883</c:v>
                </c:pt>
                <c:pt idx="129">
                  <c:v>883</c:v>
                </c:pt>
                <c:pt idx="130">
                  <c:v>883</c:v>
                </c:pt>
                <c:pt idx="131">
                  <c:v>883</c:v>
                </c:pt>
                <c:pt idx="132">
                  <c:v>883</c:v>
                </c:pt>
                <c:pt idx="133">
                  <c:v>883</c:v>
                </c:pt>
                <c:pt idx="135">
                  <c:v>967</c:v>
                </c:pt>
                <c:pt idx="136">
                  <c:v>967</c:v>
                </c:pt>
                <c:pt idx="137">
                  <c:v>967</c:v>
                </c:pt>
                <c:pt idx="138">
                  <c:v>967</c:v>
                </c:pt>
                <c:pt idx="139">
                  <c:v>967</c:v>
                </c:pt>
                <c:pt idx="140">
                  <c:v>967</c:v>
                </c:pt>
                <c:pt idx="141">
                  <c:v>967</c:v>
                </c:pt>
                <c:pt idx="142">
                  <c:v>967</c:v>
                </c:pt>
                <c:pt idx="143">
                  <c:v>967</c:v>
                </c:pt>
                <c:pt idx="144">
                  <c:v>967</c:v>
                </c:pt>
                <c:pt idx="145">
                  <c:v>967</c:v>
                </c:pt>
                <c:pt idx="146">
                  <c:v>967</c:v>
                </c:pt>
                <c:pt idx="147">
                  <c:v>967</c:v>
                </c:pt>
                <c:pt idx="148">
                  <c:v>967</c:v>
                </c:pt>
                <c:pt idx="150">
                  <c:v>0</c:v>
                </c:pt>
                <c:pt idx="151">
                  <c:v>13880</c:v>
                </c:pt>
                <c:pt idx="153">
                  <c:v>13586.826114414815</c:v>
                </c:pt>
                <c:pt idx="154">
                  <c:v>13586.826114414815</c:v>
                </c:pt>
                <c:pt idx="156">
                  <c:v>0</c:v>
                </c:pt>
                <c:pt idx="157">
                  <c:v>1116</c:v>
                </c:pt>
                <c:pt idx="158">
                  <c:v>13880</c:v>
                </c:pt>
                <c:pt idx="160">
                  <c:v>0</c:v>
                </c:pt>
                <c:pt idx="161">
                  <c:v>13880</c:v>
                </c:pt>
                <c:pt idx="163">
                  <c:v>0</c:v>
                </c:pt>
                <c:pt idx="164">
                  <c:v>13880</c:v>
                </c:pt>
                <c:pt idx="166">
                  <c:v>0</c:v>
                </c:pt>
                <c:pt idx="167">
                  <c:v>13880</c:v>
                </c:pt>
                <c:pt idx="169">
                  <c:v>0</c:v>
                </c:pt>
                <c:pt idx="170">
                  <c:v>13880</c:v>
                </c:pt>
                <c:pt idx="172">
                  <c:v>0</c:v>
                </c:pt>
                <c:pt idx="173">
                  <c:v>13880</c:v>
                </c:pt>
                <c:pt idx="175">
                  <c:v>0</c:v>
                </c:pt>
                <c:pt idx="176">
                  <c:v>13880</c:v>
                </c:pt>
                <c:pt idx="178">
                  <c:v>0</c:v>
                </c:pt>
                <c:pt idx="179">
                  <c:v>13880</c:v>
                </c:pt>
                <c:pt idx="181">
                  <c:v>0</c:v>
                </c:pt>
                <c:pt idx="182">
                  <c:v>13880</c:v>
                </c:pt>
                <c:pt idx="184">
                  <c:v>0</c:v>
                </c:pt>
                <c:pt idx="185">
                  <c:v>13880</c:v>
                </c:pt>
                <c:pt idx="187">
                  <c:v>0</c:v>
                </c:pt>
                <c:pt idx="188">
                  <c:v>13880</c:v>
                </c:pt>
                <c:pt idx="190">
                  <c:v>0</c:v>
                </c:pt>
                <c:pt idx="191">
                  <c:v>13880</c:v>
                </c:pt>
                <c:pt idx="193">
                  <c:v>0</c:v>
                </c:pt>
                <c:pt idx="194">
                  <c:v>13880</c:v>
                </c:pt>
                <c:pt idx="196">
                  <c:v>0</c:v>
                </c:pt>
                <c:pt idx="197">
                  <c:v>13880</c:v>
                </c:pt>
                <c:pt idx="199">
                  <c:v>0</c:v>
                </c:pt>
                <c:pt idx="200">
                  <c:v>13880</c:v>
                </c:pt>
                <c:pt idx="202">
                  <c:v>0</c:v>
                </c:pt>
                <c:pt idx="203">
                  <c:v>13880</c:v>
                </c:pt>
                <c:pt idx="205">
                  <c:v>0</c:v>
                </c:pt>
                <c:pt idx="206">
                  <c:v>13880</c:v>
                </c:pt>
                <c:pt idx="208">
                  <c:v>0</c:v>
                </c:pt>
                <c:pt idx="209">
                  <c:v>13880</c:v>
                </c:pt>
                <c:pt idx="211">
                  <c:v>0</c:v>
                </c:pt>
                <c:pt idx="212">
                  <c:v>13880</c:v>
                </c:pt>
                <c:pt idx="214">
                  <c:v>0</c:v>
                </c:pt>
                <c:pt idx="215">
                  <c:v>13880</c:v>
                </c:pt>
                <c:pt idx="217">
                  <c:v>0</c:v>
                </c:pt>
                <c:pt idx="218">
                  <c:v>13880</c:v>
                </c:pt>
                <c:pt idx="220">
                  <c:v>0</c:v>
                </c:pt>
                <c:pt idx="221">
                  <c:v>13880</c:v>
                </c:pt>
                <c:pt idx="223">
                  <c:v>0</c:v>
                </c:pt>
                <c:pt idx="224">
                  <c:v>13880</c:v>
                </c:pt>
                <c:pt idx="226">
                  <c:v>0</c:v>
                </c:pt>
                <c:pt idx="227">
                  <c:v>13880</c:v>
                </c:pt>
                <c:pt idx="229">
                  <c:v>0</c:v>
                </c:pt>
                <c:pt idx="230">
                  <c:v>13880</c:v>
                </c:pt>
                <c:pt idx="232">
                  <c:v>0</c:v>
                </c:pt>
                <c:pt idx="233">
                  <c:v>13880</c:v>
                </c:pt>
                <c:pt idx="235">
                  <c:v>0</c:v>
                </c:pt>
                <c:pt idx="236">
                  <c:v>13880</c:v>
                </c:pt>
                <c:pt idx="238">
                  <c:v>0</c:v>
                </c:pt>
                <c:pt idx="239">
                  <c:v>13880</c:v>
                </c:pt>
                <c:pt idx="241">
                  <c:v>0</c:v>
                </c:pt>
                <c:pt idx="242">
                  <c:v>13880</c:v>
                </c:pt>
                <c:pt idx="244">
                  <c:v>0</c:v>
                </c:pt>
                <c:pt idx="245">
                  <c:v>13880</c:v>
                </c:pt>
                <c:pt idx="247">
                  <c:v>0</c:v>
                </c:pt>
                <c:pt idx="248">
                  <c:v>13880</c:v>
                </c:pt>
                <c:pt idx="250">
                  <c:v>0</c:v>
                </c:pt>
                <c:pt idx="251">
                  <c:v>13880</c:v>
                </c:pt>
                <c:pt idx="253">
                  <c:v>0</c:v>
                </c:pt>
                <c:pt idx="254">
                  <c:v>13880</c:v>
                </c:pt>
                <c:pt idx="256">
                  <c:v>0</c:v>
                </c:pt>
                <c:pt idx="257">
                  <c:v>13880</c:v>
                </c:pt>
                <c:pt idx="259">
                  <c:v>0</c:v>
                </c:pt>
                <c:pt idx="260">
                  <c:v>13880</c:v>
                </c:pt>
                <c:pt idx="262">
                  <c:v>0</c:v>
                </c:pt>
                <c:pt idx="263">
                  <c:v>13880</c:v>
                </c:pt>
                <c:pt idx="265">
                  <c:v>0</c:v>
                </c:pt>
                <c:pt idx="266">
                  <c:v>13880</c:v>
                </c:pt>
                <c:pt idx="268">
                  <c:v>0</c:v>
                </c:pt>
                <c:pt idx="269">
                  <c:v>13880</c:v>
                </c:pt>
                <c:pt idx="271">
                  <c:v>0</c:v>
                </c:pt>
                <c:pt idx="272">
                  <c:v>13880</c:v>
                </c:pt>
                <c:pt idx="274">
                  <c:v>0</c:v>
                </c:pt>
                <c:pt idx="275">
                  <c:v>13880</c:v>
                </c:pt>
                <c:pt idx="277">
                  <c:v>0</c:v>
                </c:pt>
                <c:pt idx="278">
                  <c:v>13880</c:v>
                </c:pt>
                <c:pt idx="280">
                  <c:v>0</c:v>
                </c:pt>
                <c:pt idx="281">
                  <c:v>13880</c:v>
                </c:pt>
              </c:numCache>
            </c:numRef>
          </c:xVal>
          <c:yVal>
            <c:numRef>
              <c:f>Graph_Data!$O$11:$O$292</c:f>
              <c:numCache>
                <c:ptCount val="282"/>
                <c:pt idx="156">
                  <c:v>4.076640443670342</c:v>
                </c:pt>
                <c:pt idx="157">
                  <c:v>-37.808665721752</c:v>
                </c:pt>
              </c:numCache>
            </c:numRef>
          </c:yVal>
          <c:smooth val="0"/>
        </c:ser>
        <c:ser>
          <c:idx val="8"/>
          <c:order val="10"/>
          <c:tx>
            <c:strRef>
              <c:f>Graph_Data!$C$171</c:f>
              <c:strCache>
                <c:ptCount val="1"/>
                <c:pt idx="0">
                  <c:v>0.01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l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Graph_Data!$E$171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Graph_Data!$P$171</c:f>
              <c:numCache>
                <c:ptCount val="1"/>
                <c:pt idx="0">
                  <c:v>-2</c:v>
                </c:pt>
              </c:numCache>
            </c:numRef>
          </c:yVal>
          <c:smooth val="0"/>
        </c:ser>
        <c:ser>
          <c:idx val="9"/>
          <c:order val="11"/>
          <c:tx>
            <c:strRef>
              <c:f>Graph_Data!$C$201</c:f>
              <c:strCache>
                <c:ptCount val="1"/>
                <c:pt idx="0">
                  <c:v>0.1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l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Graph_Data!$E$201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Graph_Data!$P$201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10"/>
          <c:order val="12"/>
          <c:tx>
            <c:strRef>
              <c:f>Graph_Data!$C$231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l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Graph_Data!$E$231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Graph_Data!$P$231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1"/>
          <c:order val="13"/>
          <c:tx>
            <c:strRef>
              <c:f>Graph_Data!$C$261</c:f>
              <c:strCache>
                <c:ptCount val="1"/>
                <c:pt idx="0">
                  <c:v>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l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Graph_Data!$E$261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Graph_Data!$P$261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2"/>
          <c:order val="14"/>
          <c:tx>
            <c:strRef>
              <c:f>Graph_Data!$C$291</c:f>
              <c:strCache>
                <c:ptCount val="1"/>
                <c:pt idx="0">
                  <c:v>100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l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Graph_Data!$E$291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Graph_Data!$P$291</c:f>
              <c:numCache>
                <c:ptCount val="1"/>
                <c:pt idx="0">
                  <c:v>2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Graph_Data!$C$161</c:f>
              <c:strCache>
                <c:ptCount val="1"/>
                <c:pt idx="0">
                  <c:v>0.05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9966"/>
                    </a:solidFill>
                  </a:defRPr>
                </a:pPr>
              </a:p>
            </c:txPr>
            <c:dLblPos val="l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Graph_Data!$E$161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Graph_Data!$L$161</c:f>
              <c:numCache>
                <c:ptCount val="1"/>
                <c:pt idx="0">
                  <c:v>-1.3010299956639813</c:v>
                </c:pt>
              </c:numCache>
            </c:numRef>
          </c:yVal>
          <c:smooth val="0"/>
        </c:ser>
        <c:axId val="49591478"/>
        <c:axId val="43670119"/>
      </c:scatterChart>
      <c:valAx>
        <c:axId val="49591478"/>
        <c:scaling>
          <c:orientation val="minMax"/>
          <c:max val="13200"/>
          <c:min val="0"/>
        </c:scaling>
        <c:axPos val="b"/>
        <c:delete val="0"/>
        <c:numFmt formatCode="yy" sourceLinked="0"/>
        <c:majorTickMark val="none"/>
        <c:minorTickMark val="none"/>
        <c:tickLblPos val="high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670119"/>
        <c:crosses val="autoZero"/>
        <c:crossBetween val="midCat"/>
        <c:dispUnits/>
        <c:majorUnit val="731.52"/>
        <c:minorUnit val="60"/>
      </c:valAx>
      <c:valAx>
        <c:axId val="43670119"/>
        <c:scaling>
          <c:orientation val="minMax"/>
          <c:max val="2"/>
          <c:min val="-2"/>
        </c:scaling>
        <c:axPos val="l"/>
        <c:delete val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59147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1.xml" /><Relationship Id="rId3" Type="http://schemas.openxmlformats.org/officeDocument/2006/relationships/image" Target="../media/image1.emf" /><Relationship Id="rId4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2.xml" /><Relationship Id="rId3" Type="http://schemas.openxmlformats.org/officeDocument/2006/relationships/image" Target="../media/image1.emf" /><Relationship Id="rId4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17</xdr:col>
      <xdr:colOff>0</xdr:colOff>
      <xdr:row>29</xdr:row>
      <xdr:rowOff>0</xdr:rowOff>
    </xdr:from>
    <xdr:to>
      <xdr:col>23</xdr:col>
      <xdr:colOff>0</xdr:colOff>
      <xdr:row>40</xdr:row>
      <xdr:rowOff>0</xdr:rowOff>
    </xdr:to>
    <xdr:grpSp>
      <xdr:nvGrpSpPr>
        <xdr:cNvPr id="1" name="Group 47"/>
        <xdr:cNvGrpSpPr>
          <a:grpSpLocks/>
        </xdr:cNvGrpSpPr>
      </xdr:nvGrpSpPr>
      <xdr:grpSpPr>
        <a:xfrm>
          <a:off x="5172075" y="4781550"/>
          <a:ext cx="1771650" cy="1781175"/>
          <a:chOff x="518" y="977"/>
          <a:chExt cx="224" cy="208"/>
        </a:xfrm>
        <a:solidFill>
          <a:srgbClr val="FFFFFF"/>
        </a:solidFill>
      </xdr:grpSpPr>
      <xdr:pic>
        <xdr:nvPicPr>
          <xdr:cNvPr id="2" name="Picture 1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18" y="977"/>
            <a:ext cx="224" cy="20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Rectangle 20"/>
          <xdr:cNvSpPr>
            <a:spLocks noChangeAspect="1"/>
          </xdr:cNvSpPr>
        </xdr:nvSpPr>
        <xdr:spPr>
          <a:xfrm>
            <a:off x="612" y="1048"/>
            <a:ext cx="30" cy="36"/>
          </a:xfrm>
          <a:prstGeom prst="rect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40</xdr:row>
      <xdr:rowOff>0</xdr:rowOff>
    </xdr:from>
    <xdr:to>
      <xdr:col>24</xdr:col>
      <xdr:colOff>0</xdr:colOff>
      <xdr:row>60</xdr:row>
      <xdr:rowOff>0</xdr:rowOff>
    </xdr:to>
    <xdr:graphicFrame>
      <xdr:nvGraphicFramePr>
        <xdr:cNvPr id="4" name="Chart 44"/>
        <xdr:cNvGraphicFramePr/>
      </xdr:nvGraphicFramePr>
      <xdr:xfrm>
        <a:off x="695325" y="6562725"/>
        <a:ext cx="6543675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333375</xdr:colOff>
      <xdr:row>35</xdr:row>
      <xdr:rowOff>0</xdr:rowOff>
    </xdr:from>
    <xdr:to>
      <xdr:col>6</xdr:col>
      <xdr:colOff>190500</xdr:colOff>
      <xdr:row>37</xdr:row>
      <xdr:rowOff>152400</xdr:rowOff>
    </xdr:to>
    <xdr:pic>
      <xdr:nvPicPr>
        <xdr:cNvPr id="5" name="Picture 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5753100"/>
          <a:ext cx="1781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16</xdr:row>
      <xdr:rowOff>76200</xdr:rowOff>
    </xdr:from>
    <xdr:to>
      <xdr:col>13</xdr:col>
      <xdr:colOff>95250</xdr:colOff>
      <xdr:row>39</xdr:row>
      <xdr:rowOff>152400</xdr:rowOff>
    </xdr:to>
    <xdr:sp>
      <xdr:nvSpPr>
        <xdr:cNvPr id="6" name="AutoShape 21"/>
        <xdr:cNvSpPr>
          <a:spLocks/>
        </xdr:cNvSpPr>
      </xdr:nvSpPr>
      <xdr:spPr>
        <a:xfrm>
          <a:off x="0" y="2752725"/>
          <a:ext cx="4086225" cy="3800475"/>
        </a:xfrm>
        <a:prstGeom prst="wedgeRectCallout">
          <a:avLst>
            <a:gd name="adj1" fmla="val 93124"/>
            <a:gd name="adj2" fmla="val 23435"/>
          </a:avLst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14</xdr:col>
      <xdr:colOff>180975</xdr:colOff>
      <xdr:row>16</xdr:row>
      <xdr:rowOff>85725</xdr:rowOff>
    </xdr:from>
    <xdr:to>
      <xdr:col>22</xdr:col>
      <xdr:colOff>285750</xdr:colOff>
      <xdr:row>28</xdr:row>
      <xdr:rowOff>0</xdr:rowOff>
    </xdr:to>
    <xdr:pic>
      <xdr:nvPicPr>
        <xdr:cNvPr id="7" name="Picture 7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67225" y="2762250"/>
          <a:ext cx="246697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15</xdr:row>
      <xdr:rowOff>85725</xdr:rowOff>
    </xdr:from>
    <xdr:to>
      <xdr:col>20</xdr:col>
      <xdr:colOff>0</xdr:colOff>
      <xdr:row>29</xdr:row>
      <xdr:rowOff>85725</xdr:rowOff>
    </xdr:to>
    <xdr:grpSp>
      <xdr:nvGrpSpPr>
        <xdr:cNvPr id="1" name="Group 2"/>
        <xdr:cNvGrpSpPr>
          <a:grpSpLocks/>
        </xdr:cNvGrpSpPr>
      </xdr:nvGrpSpPr>
      <xdr:grpSpPr>
        <a:xfrm>
          <a:off x="4581525" y="2600325"/>
          <a:ext cx="2466975" cy="2266950"/>
          <a:chOff x="518" y="977"/>
          <a:chExt cx="224" cy="208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18" y="977"/>
            <a:ext cx="224" cy="20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Rectangle 4"/>
          <xdr:cNvSpPr>
            <a:spLocks noChangeAspect="1"/>
          </xdr:cNvSpPr>
        </xdr:nvSpPr>
        <xdr:spPr>
          <a:xfrm>
            <a:off x="612" y="1048"/>
            <a:ext cx="30" cy="36"/>
          </a:xfrm>
          <a:prstGeom prst="rect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40</xdr:row>
      <xdr:rowOff>0</xdr:rowOff>
    </xdr:from>
    <xdr:to>
      <xdr:col>21</xdr:col>
      <xdr:colOff>0</xdr:colOff>
      <xdr:row>62</xdr:row>
      <xdr:rowOff>0</xdr:rowOff>
    </xdr:to>
    <xdr:graphicFrame>
      <xdr:nvGraphicFramePr>
        <xdr:cNvPr id="4" name="Chart 7"/>
        <xdr:cNvGraphicFramePr/>
      </xdr:nvGraphicFramePr>
      <xdr:xfrm>
        <a:off x="352425" y="6562725"/>
        <a:ext cx="70485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333375</xdr:colOff>
      <xdr:row>35</xdr:row>
      <xdr:rowOff>0</xdr:rowOff>
    </xdr:from>
    <xdr:to>
      <xdr:col>6</xdr:col>
      <xdr:colOff>0</xdr:colOff>
      <xdr:row>37</xdr:row>
      <xdr:rowOff>152400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5753100"/>
          <a:ext cx="1781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276225</xdr:colOff>
      <xdr:row>45</xdr:row>
      <xdr:rowOff>152400</xdr:rowOff>
    </xdr:from>
    <xdr:to>
      <xdr:col>14</xdr:col>
      <xdr:colOff>285750</xdr:colOff>
      <xdr:row>47</xdr:row>
      <xdr:rowOff>57150</xdr:rowOff>
    </xdr:to>
    <xdr:sp>
      <xdr:nvSpPr>
        <xdr:cNvPr id="6" name="AutoShape 10"/>
        <xdr:cNvSpPr>
          <a:spLocks/>
        </xdr:cNvSpPr>
      </xdr:nvSpPr>
      <xdr:spPr>
        <a:xfrm>
          <a:off x="3448050" y="7524750"/>
          <a:ext cx="1771650" cy="228600"/>
        </a:xfrm>
        <a:prstGeom prst="wedgeRoundRectCallout">
          <a:avLst>
            <a:gd name="adj1" fmla="val 52689"/>
            <a:gd name="adj2" fmla="val 18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</a:rPr>
            <a:t>Cs-137 30.167y(11,019d)</a:t>
          </a:r>
        </a:p>
      </xdr:txBody>
    </xdr:sp>
    <xdr:clientData/>
  </xdr:twoCellAnchor>
  <xdr:twoCellAnchor>
    <xdr:from>
      <xdr:col>4</xdr:col>
      <xdr:colOff>123825</xdr:colOff>
      <xdr:row>54</xdr:row>
      <xdr:rowOff>142875</xdr:rowOff>
    </xdr:from>
    <xdr:to>
      <xdr:col>7</xdr:col>
      <xdr:colOff>142875</xdr:colOff>
      <xdr:row>56</xdr:row>
      <xdr:rowOff>47625</xdr:rowOff>
    </xdr:to>
    <xdr:sp>
      <xdr:nvSpPr>
        <xdr:cNvPr id="7" name="AutoShape 11"/>
        <xdr:cNvSpPr>
          <a:spLocks/>
        </xdr:cNvSpPr>
      </xdr:nvSpPr>
      <xdr:spPr>
        <a:xfrm>
          <a:off x="1533525" y="8972550"/>
          <a:ext cx="1076325" cy="228600"/>
        </a:xfrm>
        <a:prstGeom prst="wedgeRoundRectCallout">
          <a:avLst>
            <a:gd name="adj1" fmla="val -88939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993300"/>
              </a:solidFill>
            </a:rPr>
            <a:t>I-131 8.02070d</a:t>
          </a:r>
        </a:p>
      </xdr:txBody>
    </xdr:sp>
    <xdr:clientData/>
  </xdr:twoCellAnchor>
  <xdr:twoCellAnchor>
    <xdr:from>
      <xdr:col>0</xdr:col>
      <xdr:colOff>0</xdr:colOff>
      <xdr:row>67</xdr:row>
      <xdr:rowOff>95250</xdr:rowOff>
    </xdr:from>
    <xdr:to>
      <xdr:col>2</xdr:col>
      <xdr:colOff>0</xdr:colOff>
      <xdr:row>67</xdr:row>
      <xdr:rowOff>95250</xdr:rowOff>
    </xdr:to>
    <xdr:sp>
      <xdr:nvSpPr>
        <xdr:cNvPr id="8" name="Line 12"/>
        <xdr:cNvSpPr>
          <a:spLocks/>
        </xdr:cNvSpPr>
      </xdr:nvSpPr>
      <xdr:spPr>
        <a:xfrm>
          <a:off x="0" y="11029950"/>
          <a:ext cx="704850" cy="0"/>
        </a:xfrm>
        <a:prstGeom prst="line">
          <a:avLst/>
        </a:prstGeom>
        <a:noFill/>
        <a:ln w="19050" cmpd="sng">
          <a:solidFill>
            <a:srgbClr val="333333"/>
          </a:solidFill>
          <a:prstDash val="dash"/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95250</xdr:rowOff>
    </xdr:from>
    <xdr:to>
      <xdr:col>2</xdr:col>
      <xdr:colOff>0</xdr:colOff>
      <xdr:row>68</xdr:row>
      <xdr:rowOff>95250</xdr:rowOff>
    </xdr:to>
    <xdr:sp>
      <xdr:nvSpPr>
        <xdr:cNvPr id="9" name="Line 13"/>
        <xdr:cNvSpPr>
          <a:spLocks/>
        </xdr:cNvSpPr>
      </xdr:nvSpPr>
      <xdr:spPr>
        <a:xfrm flipV="1">
          <a:off x="0" y="11191875"/>
          <a:ext cx="704850" cy="0"/>
        </a:xfrm>
        <a:prstGeom prst="line">
          <a:avLst/>
        </a:prstGeom>
        <a:noFill/>
        <a:ln w="19050" cmpd="sng">
          <a:solidFill>
            <a:srgbClr val="993300"/>
          </a:solidFill>
          <a:prstDash val="dash"/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142875</xdr:rowOff>
    </xdr:from>
    <xdr:to>
      <xdr:col>11</xdr:col>
      <xdr:colOff>190500</xdr:colOff>
      <xdr:row>39</xdr:row>
      <xdr:rowOff>76200</xdr:rowOff>
    </xdr:to>
    <xdr:sp>
      <xdr:nvSpPr>
        <xdr:cNvPr id="10" name="AutoShape 9"/>
        <xdr:cNvSpPr>
          <a:spLocks/>
        </xdr:cNvSpPr>
      </xdr:nvSpPr>
      <xdr:spPr>
        <a:xfrm>
          <a:off x="0" y="2657475"/>
          <a:ext cx="4067175" cy="3819525"/>
        </a:xfrm>
        <a:prstGeom prst="wedgeRectCallout">
          <a:avLst>
            <a:gd name="adj1" fmla="val 87004"/>
            <a:gd name="adj2" fmla="val -26560"/>
          </a:avLst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12</xdr:col>
      <xdr:colOff>342900</xdr:colOff>
      <xdr:row>30</xdr:row>
      <xdr:rowOff>0</xdr:rowOff>
    </xdr:from>
    <xdr:to>
      <xdr:col>19</xdr:col>
      <xdr:colOff>342900</xdr:colOff>
      <xdr:row>41</xdr:row>
      <xdr:rowOff>66675</xdr:rowOff>
    </xdr:to>
    <xdr:pic>
      <xdr:nvPicPr>
        <xdr:cNvPr id="11" name="Picture 7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72000" y="4943475"/>
          <a:ext cx="24669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xls-hashimoto\radiation_monitoring\kinayan\20131102\kinayan_taku_syuh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モニタリング結果"/>
      <sheetName val="測定結果"/>
      <sheetName val="Graph"/>
      <sheetName val="Graph_Data"/>
      <sheetName val="Graph_PointNo"/>
      <sheetName val="Ave_Cal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Z110"/>
  <sheetViews>
    <sheetView tabSelected="1" view="pageBreakPreview" zoomScaleSheetLayoutView="100" workbookViewId="0" topLeftCell="A1">
      <selection activeCell="Y1" sqref="Y1"/>
    </sheetView>
  </sheetViews>
  <sheetFormatPr defaultColWidth="9.00390625" defaultRowHeight="13.5"/>
  <cols>
    <col min="1" max="1" width="4.625" style="5" customWidth="1"/>
    <col min="2" max="3" width="4.50390625" style="5" customWidth="1"/>
    <col min="4" max="83" width="3.875" style="5" customWidth="1"/>
    <col min="84" max="16384" width="9.00390625" style="5" customWidth="1"/>
  </cols>
  <sheetData>
    <row r="1" spans="25:26" ht="12.75" customHeight="1" thickBot="1" thickTop="1">
      <c r="Y1" s="61" t="s">
        <v>142</v>
      </c>
      <c r="Z1" s="60"/>
    </row>
    <row r="2" ht="12.75" customHeight="1" thickTop="1"/>
    <row r="3" spans="1:23" ht="12.75" customHeight="1">
      <c r="A3" s="89" t="s">
        <v>19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</row>
    <row r="4" spans="1:23" ht="12.7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</row>
    <row r="5" spans="13:14" ht="12.75">
      <c r="M5" s="85"/>
      <c r="N5" s="85"/>
    </row>
    <row r="6" spans="1:15" ht="13.5" customHeight="1">
      <c r="A6" s="90" t="s">
        <v>4</v>
      </c>
      <c r="B6" s="91"/>
      <c r="C6" s="84" t="s">
        <v>137</v>
      </c>
      <c r="D6" s="86"/>
      <c r="E6" s="86"/>
      <c r="F6" s="86"/>
      <c r="G6" s="86"/>
      <c r="H6" s="86"/>
      <c r="M6" s="85">
        <v>0.48194444444444445</v>
      </c>
      <c r="N6" s="85"/>
      <c r="O6" s="6" t="s">
        <v>96</v>
      </c>
    </row>
    <row r="7" spans="1:15" ht="13.5" customHeight="1">
      <c r="A7" s="90" t="s">
        <v>5</v>
      </c>
      <c r="B7" s="91"/>
      <c r="C7" s="83" t="s">
        <v>138</v>
      </c>
      <c r="D7" s="82"/>
      <c r="E7" s="82"/>
      <c r="F7" s="82"/>
      <c r="G7" s="82"/>
      <c r="H7" s="82"/>
      <c r="M7" s="85"/>
      <c r="N7" s="85"/>
      <c r="O7" s="6" t="s">
        <v>18</v>
      </c>
    </row>
    <row r="8" spans="1:15" ht="13.5" customHeight="1">
      <c r="A8" s="90" t="s">
        <v>7</v>
      </c>
      <c r="B8" s="91"/>
      <c r="C8" s="83" t="s">
        <v>133</v>
      </c>
      <c r="D8" s="82"/>
      <c r="E8" s="82"/>
      <c r="F8" s="82"/>
      <c r="G8" s="82"/>
      <c r="H8" s="82"/>
      <c r="M8" s="85"/>
      <c r="N8" s="85"/>
      <c r="O8" s="5" t="s">
        <v>84</v>
      </c>
    </row>
    <row r="9" spans="3:15" ht="13.5" customHeight="1">
      <c r="C9" s="82" t="s">
        <v>97</v>
      </c>
      <c r="D9" s="82"/>
      <c r="E9" s="82"/>
      <c r="F9" s="82"/>
      <c r="G9" s="82"/>
      <c r="H9" s="82"/>
      <c r="I9" s="82"/>
      <c r="J9" s="82"/>
      <c r="K9" s="82"/>
      <c r="M9" s="85">
        <v>0.4930555555555556</v>
      </c>
      <c r="N9" s="85"/>
      <c r="O9" s="6" t="s">
        <v>17</v>
      </c>
    </row>
    <row r="10" spans="1:15" ht="13.5" customHeight="1">
      <c r="A10" s="90" t="s">
        <v>11</v>
      </c>
      <c r="B10" s="91"/>
      <c r="C10" s="83" t="s">
        <v>14</v>
      </c>
      <c r="D10" s="83"/>
      <c r="E10" s="83"/>
      <c r="F10" s="83"/>
      <c r="G10" s="83"/>
      <c r="H10" s="83"/>
      <c r="I10" s="83"/>
      <c r="J10" s="83"/>
      <c r="K10" s="83"/>
      <c r="M10" s="85">
        <v>0.5069444444444444</v>
      </c>
      <c r="N10" s="85"/>
      <c r="O10" s="6" t="s">
        <v>12</v>
      </c>
    </row>
    <row r="11" spans="1:15" ht="13.5" customHeight="1">
      <c r="A11" s="90" t="s">
        <v>6</v>
      </c>
      <c r="B11" s="91"/>
      <c r="C11" s="84" t="s">
        <v>134</v>
      </c>
      <c r="D11" s="84"/>
      <c r="E11" s="84"/>
      <c r="F11" s="84"/>
      <c r="G11" s="84"/>
      <c r="H11" s="84"/>
      <c r="I11" s="84"/>
      <c r="J11" s="84"/>
      <c r="K11" s="84"/>
      <c r="M11" s="85">
        <v>0.5833333333333334</v>
      </c>
      <c r="N11" s="85"/>
      <c r="O11" s="6" t="s">
        <v>13</v>
      </c>
    </row>
    <row r="12" spans="1:15" ht="13.5" customHeight="1">
      <c r="A12" s="90" t="s">
        <v>9</v>
      </c>
      <c r="B12" s="91"/>
      <c r="C12" s="84" t="s">
        <v>140</v>
      </c>
      <c r="D12" s="86"/>
      <c r="E12" s="86"/>
      <c r="F12" s="86"/>
      <c r="G12" s="86"/>
      <c r="H12" s="86"/>
      <c r="I12" s="86"/>
      <c r="J12" s="86"/>
      <c r="K12" s="86"/>
      <c r="M12" s="85">
        <v>0.6180555555555556</v>
      </c>
      <c r="N12" s="85"/>
      <c r="O12" s="6" t="s">
        <v>98</v>
      </c>
    </row>
    <row r="13" spans="1:15" ht="13.5" customHeight="1">
      <c r="A13" s="91"/>
      <c r="B13" s="91"/>
      <c r="C13" s="86"/>
      <c r="D13" s="86"/>
      <c r="E13" s="86"/>
      <c r="F13" s="86"/>
      <c r="G13" s="86"/>
      <c r="H13" s="86"/>
      <c r="I13" s="86"/>
      <c r="J13" s="86"/>
      <c r="K13" s="86"/>
      <c r="M13" s="85"/>
      <c r="N13" s="85"/>
      <c r="O13" s="5" t="s">
        <v>15</v>
      </c>
    </row>
    <row r="14" spans="1:15" ht="12.75" customHeight="1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M14" s="85"/>
      <c r="N14" s="85"/>
      <c r="O14" s="5" t="s">
        <v>16</v>
      </c>
    </row>
    <row r="15" spans="1:15" ht="13.5" customHeight="1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M15" s="85">
        <v>0.6458333333333334</v>
      </c>
      <c r="N15" s="85"/>
      <c r="O15" s="6" t="s">
        <v>8</v>
      </c>
    </row>
    <row r="16" ht="12.75"/>
    <row r="17" spans="15:23" ht="12.75">
      <c r="O17" s="64"/>
      <c r="P17" s="65"/>
      <c r="Q17" s="65"/>
      <c r="R17" s="65"/>
      <c r="S17" s="65"/>
      <c r="T17" s="65"/>
      <c r="U17" s="65"/>
      <c r="V17" s="65"/>
      <c r="W17" s="65"/>
    </row>
    <row r="18" spans="15:23" ht="12.75">
      <c r="O18" s="65"/>
      <c r="P18" s="65"/>
      <c r="Q18" s="65"/>
      <c r="R18" s="65"/>
      <c r="S18" s="65"/>
      <c r="T18" s="65"/>
      <c r="U18" s="65"/>
      <c r="V18" s="65"/>
      <c r="W18" s="65"/>
    </row>
    <row r="19" spans="15:23" ht="12.75">
      <c r="O19" s="65"/>
      <c r="P19" s="65"/>
      <c r="Q19" s="65"/>
      <c r="R19" s="65"/>
      <c r="S19" s="65"/>
      <c r="T19" s="65"/>
      <c r="U19" s="65"/>
      <c r="V19" s="65"/>
      <c r="W19" s="65"/>
    </row>
    <row r="20" spans="15:23" ht="12.75">
      <c r="O20" s="65"/>
      <c r="P20" s="65"/>
      <c r="Q20" s="65"/>
      <c r="R20" s="65"/>
      <c r="S20" s="65"/>
      <c r="T20" s="65"/>
      <c r="U20" s="65"/>
      <c r="V20" s="65"/>
      <c r="W20" s="65"/>
    </row>
    <row r="21" spans="15:23" ht="12.75">
      <c r="O21" s="65"/>
      <c r="P21" s="65"/>
      <c r="Q21" s="65"/>
      <c r="R21" s="65"/>
      <c r="S21" s="65"/>
      <c r="T21" s="65"/>
      <c r="U21" s="65"/>
      <c r="V21" s="65"/>
      <c r="W21" s="65"/>
    </row>
    <row r="22" spans="15:23" ht="12.75">
      <c r="O22" s="65"/>
      <c r="P22" s="65"/>
      <c r="Q22" s="65"/>
      <c r="R22" s="65"/>
      <c r="S22" s="65"/>
      <c r="T22" s="65"/>
      <c r="U22" s="65"/>
      <c r="V22" s="65"/>
      <c r="W22" s="65"/>
    </row>
    <row r="23" spans="15:23" ht="12.75">
      <c r="O23" s="65"/>
      <c r="P23" s="65"/>
      <c r="Q23" s="65"/>
      <c r="R23" s="65"/>
      <c r="S23" s="65"/>
      <c r="T23" s="65"/>
      <c r="U23" s="65"/>
      <c r="V23" s="65"/>
      <c r="W23" s="65"/>
    </row>
    <row r="24" spans="15:23" ht="12.75">
      <c r="O24" s="65"/>
      <c r="P24" s="65"/>
      <c r="Q24" s="65"/>
      <c r="R24" s="65"/>
      <c r="S24" s="65"/>
      <c r="T24" s="65"/>
      <c r="U24" s="65"/>
      <c r="V24" s="65"/>
      <c r="W24" s="65"/>
    </row>
    <row r="25" spans="15:23" ht="12.75">
      <c r="O25" s="65"/>
      <c r="P25" s="65"/>
      <c r="Q25" s="65"/>
      <c r="R25" s="65"/>
      <c r="S25" s="65"/>
      <c r="T25" s="65"/>
      <c r="U25" s="65"/>
      <c r="V25" s="65"/>
      <c r="W25" s="65"/>
    </row>
    <row r="26" spans="15:23" ht="12.75">
      <c r="O26" s="65"/>
      <c r="P26" s="65"/>
      <c r="Q26" s="65"/>
      <c r="R26" s="65"/>
      <c r="S26" s="65"/>
      <c r="T26" s="65"/>
      <c r="U26" s="65"/>
      <c r="V26" s="65"/>
      <c r="W26" s="65"/>
    </row>
    <row r="27" spans="15:23" ht="12.75">
      <c r="O27" s="65"/>
      <c r="P27" s="65"/>
      <c r="Q27" s="65"/>
      <c r="R27" s="65"/>
      <c r="S27" s="65"/>
      <c r="T27" s="65"/>
      <c r="U27" s="65"/>
      <c r="V27" s="65"/>
      <c r="W27" s="65"/>
    </row>
    <row r="28" spans="15:23" ht="12.75">
      <c r="O28" s="65"/>
      <c r="P28" s="65"/>
      <c r="Q28" s="65"/>
      <c r="R28" s="65"/>
      <c r="S28" s="65"/>
      <c r="T28" s="65"/>
      <c r="U28" s="65"/>
      <c r="V28" s="65"/>
      <c r="W28" s="65"/>
    </row>
    <row r="29" spans="15:23" ht="12.75">
      <c r="O29" s="65"/>
      <c r="P29" s="65"/>
      <c r="Q29" s="65"/>
      <c r="R29" s="65"/>
      <c r="S29" s="65"/>
      <c r="T29" s="65"/>
      <c r="U29" s="65"/>
      <c r="V29" s="65"/>
      <c r="W29" s="65"/>
    </row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 customHeight="1" thickBot="1"/>
    <row r="42" spans="1:23" ht="12.75" customHeight="1">
      <c r="A42" s="19"/>
      <c r="B42" s="20"/>
      <c r="C42" s="39"/>
      <c r="D42" s="94" t="s">
        <v>117</v>
      </c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6"/>
    </row>
    <row r="43" spans="1:23" ht="12.75" customHeight="1">
      <c r="A43" s="21"/>
      <c r="B43" s="22"/>
      <c r="C43" s="40"/>
      <c r="D43" s="97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9"/>
    </row>
    <row r="44" spans="1:23" ht="12.75" customHeight="1">
      <c r="A44" s="21"/>
      <c r="B44" s="22"/>
      <c r="C44" s="40"/>
      <c r="D44" s="97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9"/>
    </row>
    <row r="45" spans="1:23" ht="12.75" customHeight="1">
      <c r="A45" s="21"/>
      <c r="B45" s="22"/>
      <c r="C45" s="40"/>
      <c r="D45" s="97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9"/>
    </row>
    <row r="46" spans="1:23" ht="12.75" customHeight="1">
      <c r="A46" s="21"/>
      <c r="B46" s="22"/>
      <c r="C46" s="40"/>
      <c r="D46" s="97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9"/>
    </row>
    <row r="47" spans="1:23" ht="12.75" customHeight="1">
      <c r="A47" s="21"/>
      <c r="B47" s="22"/>
      <c r="C47" s="40"/>
      <c r="D47" s="97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9"/>
    </row>
    <row r="48" spans="1:23" ht="12.75" customHeight="1">
      <c r="A48" s="21"/>
      <c r="B48" s="22"/>
      <c r="C48" s="38"/>
      <c r="D48" s="97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9"/>
    </row>
    <row r="49" spans="1:23" ht="12.75" customHeight="1">
      <c r="A49" s="21"/>
      <c r="B49" s="22"/>
      <c r="C49" s="38"/>
      <c r="D49" s="97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9"/>
    </row>
    <row r="50" spans="1:23" ht="12.75" customHeight="1">
      <c r="A50" s="110" t="s">
        <v>69</v>
      </c>
      <c r="B50" s="111"/>
      <c r="C50" s="34"/>
      <c r="D50" s="97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9"/>
    </row>
    <row r="51" spans="1:23" ht="12.75" customHeight="1">
      <c r="A51" s="110"/>
      <c r="B51" s="111"/>
      <c r="C51" s="92"/>
      <c r="D51" s="97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9"/>
    </row>
    <row r="52" spans="1:23" ht="12.75" customHeight="1">
      <c r="A52" s="21"/>
      <c r="B52" s="22"/>
      <c r="C52" s="92"/>
      <c r="D52" s="97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9"/>
    </row>
    <row r="53" spans="1:23" ht="12.75" customHeight="1">
      <c r="A53" s="21"/>
      <c r="B53" s="22"/>
      <c r="C53" s="34"/>
      <c r="D53" s="97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9"/>
    </row>
    <row r="54" spans="1:23" ht="12.75" customHeight="1">
      <c r="A54" s="21"/>
      <c r="B54" s="22"/>
      <c r="C54" s="92"/>
      <c r="D54" s="97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9"/>
    </row>
    <row r="55" spans="1:23" ht="12.75" customHeight="1">
      <c r="A55" s="21"/>
      <c r="B55" s="22"/>
      <c r="C55" s="92"/>
      <c r="D55" s="97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9"/>
    </row>
    <row r="56" spans="1:23" ht="12.75" customHeight="1">
      <c r="A56" s="21"/>
      <c r="B56" s="22"/>
      <c r="C56" s="92"/>
      <c r="D56" s="97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9"/>
    </row>
    <row r="57" spans="1:23" ht="12.75" customHeight="1">
      <c r="A57" s="21"/>
      <c r="B57" s="22"/>
      <c r="C57" s="92"/>
      <c r="D57" s="97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9"/>
    </row>
    <row r="58" spans="1:23" ht="12.75" customHeight="1">
      <c r="A58" s="21"/>
      <c r="B58" s="22"/>
      <c r="C58" s="34"/>
      <c r="D58" s="97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9"/>
    </row>
    <row r="59" spans="1:23" ht="12.75" customHeight="1" thickBot="1">
      <c r="A59" s="23"/>
      <c r="B59" s="24"/>
      <c r="C59" s="35"/>
      <c r="D59" s="100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2"/>
    </row>
    <row r="60" spans="1:23" ht="12.75" customHeight="1">
      <c r="A60" s="103" t="s">
        <v>114</v>
      </c>
      <c r="B60" s="104"/>
      <c r="C60" s="105"/>
      <c r="D60" s="93">
        <f>INDEX(Ave_Calc!$A:$XFD,9,7)</f>
        <v>40758</v>
      </c>
      <c r="E60" s="71"/>
      <c r="F60" s="71">
        <f>INDEX(Ave_Calc!$A:$XFD,9,8)</f>
        <v>40873</v>
      </c>
      <c r="G60" s="71"/>
      <c r="H60" s="71">
        <f>INDEX(Ave_Calc!$A:$XFD,9,9)</f>
        <v>40986</v>
      </c>
      <c r="I60" s="71"/>
      <c r="J60" s="71">
        <f>INDEX(Ave_Calc!$A:$XFD,9,10)</f>
        <v>41055</v>
      </c>
      <c r="K60" s="71"/>
      <c r="L60" s="71">
        <f>INDEX(Ave_Calc!$A:$XFD,9,11)</f>
        <v>41189</v>
      </c>
      <c r="M60" s="71"/>
      <c r="N60" s="71">
        <f>INDEX(Ave_Calc!$A:$XFD,9,12)</f>
        <v>41236</v>
      </c>
      <c r="O60" s="71"/>
      <c r="P60" s="71">
        <f>INDEX(Ave_Calc!$A:$XFD,9,13)</f>
        <v>41356</v>
      </c>
      <c r="Q60" s="71"/>
      <c r="R60" s="71">
        <f>INDEX(Ave_Calc!$A:$XFD,9,14)</f>
        <v>41433</v>
      </c>
      <c r="S60" s="71"/>
      <c r="T60" s="71">
        <f>INDEX(Ave_Calc!$A:$XFD,9,15)</f>
        <v>41496</v>
      </c>
      <c r="U60" s="71"/>
      <c r="V60" s="71">
        <f>INDEX(Ave_Calc!$A:$XFD,9,16)</f>
        <v>41580</v>
      </c>
      <c r="W60" s="72"/>
    </row>
    <row r="61" spans="1:23" ht="12.75" customHeight="1">
      <c r="A61" s="106" t="s">
        <v>63</v>
      </c>
      <c r="B61" s="107"/>
      <c r="C61" s="108"/>
      <c r="D61" s="109">
        <f>INDEX(Ave_Calc!$A:$XFD,8,7)</f>
        <v>145</v>
      </c>
      <c r="E61" s="73"/>
      <c r="F61" s="73">
        <f>INDEX(Ave_Calc!$A:$XFD,8,8)</f>
        <v>260</v>
      </c>
      <c r="G61" s="73"/>
      <c r="H61" s="73">
        <f>INDEX(Ave_Calc!$A:$XFD,8,9)</f>
        <v>373</v>
      </c>
      <c r="I61" s="73"/>
      <c r="J61" s="73">
        <f>INDEX(Ave_Calc!$A:$XFD,8,10)</f>
        <v>442</v>
      </c>
      <c r="K61" s="73"/>
      <c r="L61" s="73">
        <f>INDEX(Ave_Calc!$A:$XFD,8,11)</f>
        <v>576</v>
      </c>
      <c r="M61" s="73"/>
      <c r="N61" s="73">
        <f>INDEX(Ave_Calc!$A:$XFD,8,12)</f>
        <v>623</v>
      </c>
      <c r="O61" s="73"/>
      <c r="P61" s="73">
        <f>INDEX(Ave_Calc!$A:$XFD,8,13)</f>
        <v>743</v>
      </c>
      <c r="Q61" s="73"/>
      <c r="R61" s="73">
        <f>INDEX(Ave_Calc!$A:$XFD,8,14)</f>
        <v>820</v>
      </c>
      <c r="S61" s="73"/>
      <c r="T61" s="73">
        <f>INDEX(Ave_Calc!$A:$XFD,8,15)</f>
        <v>883</v>
      </c>
      <c r="U61" s="73"/>
      <c r="V61" s="73">
        <f>INDEX(Ave_Calc!$A:$XFD,8,16)</f>
        <v>967</v>
      </c>
      <c r="W61" s="74"/>
    </row>
    <row r="62" spans="1:23" ht="12.75" customHeight="1">
      <c r="A62" s="116" t="s">
        <v>111</v>
      </c>
      <c r="B62" s="117"/>
      <c r="C62" s="118"/>
      <c r="D62" s="126">
        <f>INDEX(Ave_Calc!$A:$XFD,13,7)</f>
        <v>23</v>
      </c>
      <c r="E62" s="68"/>
      <c r="F62" s="68">
        <f>INDEX(Ave_Calc!$A:$XFD,13,8)</f>
        <v>18.9</v>
      </c>
      <c r="G62" s="68"/>
      <c r="H62" s="68">
        <f>INDEX(Ave_Calc!$A:$XFD,13,9)</f>
        <v>17</v>
      </c>
      <c r="I62" s="68"/>
      <c r="J62" s="68">
        <f>INDEX(Ave_Calc!$A:$XFD,13,10)</f>
        <v>20.4</v>
      </c>
      <c r="K62" s="68"/>
      <c r="L62" s="68">
        <f>INDEX(Ave_Calc!$A:$XFD,13,11)</f>
        <v>20.3</v>
      </c>
      <c r="M62" s="68"/>
      <c r="N62" s="68">
        <f>INDEX(Ave_Calc!$A:$XFD,13,12)</f>
        <v>16</v>
      </c>
      <c r="O62" s="68"/>
      <c r="P62" s="68">
        <f>INDEX(Ave_Calc!$A:$XFD,13,13)</f>
        <v>16.5</v>
      </c>
      <c r="Q62" s="68"/>
      <c r="R62" s="68">
        <f>INDEX(Ave_Calc!$A:$XFD,13,14)</f>
        <v>17.6</v>
      </c>
      <c r="S62" s="68"/>
      <c r="T62" s="68">
        <f>INDEX(Ave_Calc!$A:$XFD,13,15)</f>
        <v>18.4</v>
      </c>
      <c r="U62" s="68"/>
      <c r="V62" s="68">
        <f>INDEX(Ave_Calc!$A:$XFD,13,16)</f>
        <v>14.2</v>
      </c>
      <c r="W62" s="75"/>
    </row>
    <row r="63" spans="1:23" ht="12.75" customHeight="1">
      <c r="A63" s="112" t="s">
        <v>112</v>
      </c>
      <c r="B63" s="113"/>
      <c r="C63" s="114"/>
      <c r="D63" s="127">
        <f>INDEX(Ave_Calc!$A:$XFD,14,7)</f>
        <v>13.7</v>
      </c>
      <c r="E63" s="76"/>
      <c r="F63" s="76">
        <f>INDEX(Ave_Calc!$A:$XFD,14,8)</f>
        <v>17.2</v>
      </c>
      <c r="G63" s="76"/>
      <c r="H63" s="76">
        <f>INDEX(Ave_Calc!$A:$XFD,14,9)</f>
        <v>13.2</v>
      </c>
      <c r="I63" s="76"/>
      <c r="J63" s="76">
        <f>INDEX(Ave_Calc!$A:$XFD,14,10)</f>
        <v>10.4</v>
      </c>
      <c r="K63" s="76"/>
      <c r="L63" s="76">
        <f>INDEX(Ave_Calc!$A:$XFD,14,11)</f>
        <v>10.4</v>
      </c>
      <c r="M63" s="76"/>
      <c r="N63" s="76">
        <f>INDEX(Ave_Calc!$A:$XFD,14,12)</f>
        <v>14.2</v>
      </c>
      <c r="O63" s="76"/>
      <c r="P63" s="76">
        <f>INDEX(Ave_Calc!$A:$XFD,14,13)</f>
        <v>9.4</v>
      </c>
      <c r="Q63" s="76"/>
      <c r="R63" s="76">
        <f>INDEX(Ave_Calc!$A:$XFD,14,14)</f>
        <v>10.6</v>
      </c>
      <c r="S63" s="76"/>
      <c r="T63" s="76">
        <f>INDEX(Ave_Calc!$A:$XFD,14,15)</f>
        <v>11.3</v>
      </c>
      <c r="U63" s="76"/>
      <c r="V63" s="76">
        <f>INDEX(Ave_Calc!$A:$XFD,14,16)</f>
        <v>9.07</v>
      </c>
      <c r="W63" s="77"/>
    </row>
    <row r="64" spans="1:23" ht="12.75" customHeight="1">
      <c r="A64" s="112" t="s">
        <v>113</v>
      </c>
      <c r="B64" s="113"/>
      <c r="C64" s="114"/>
      <c r="D64" s="115">
        <f>INDEX(Ave_Calc!$A:$XFD,23,7)</f>
        <v>18.17388903730243</v>
      </c>
      <c r="E64" s="78"/>
      <c r="F64" s="78">
        <f>INDEX(Ave_Calc!$A:$XFD,23,8)</f>
        <v>18.372176240695335</v>
      </c>
      <c r="G64" s="78"/>
      <c r="H64" s="78">
        <f>INDEX(Ave_Calc!$A:$XFD,23,9)</f>
        <v>15.621071536421763</v>
      </c>
      <c r="I64" s="78"/>
      <c r="J64" s="78">
        <f>INDEX(Ave_Calc!$A:$XFD,23,10)</f>
        <v>13.373893466495666</v>
      </c>
      <c r="K64" s="78"/>
      <c r="L64" s="78">
        <f>INDEX(Ave_Calc!$A:$XFD,23,11)</f>
        <v>15.024331909146436</v>
      </c>
      <c r="M64" s="78"/>
      <c r="N64" s="78">
        <f>INDEX(Ave_Calc!$A:$XFD,23,12)</f>
        <v>15.575554538594202</v>
      </c>
      <c r="O64" s="78"/>
      <c r="P64" s="78">
        <f>INDEX(Ave_Calc!$A:$XFD,23,13)</f>
        <v>13.630001344289392</v>
      </c>
      <c r="Q64" s="78"/>
      <c r="R64" s="78">
        <f>INDEX(Ave_Calc!$A:$XFD,23,14)</f>
        <v>14.212547618154803</v>
      </c>
      <c r="S64" s="78"/>
      <c r="T64" s="78">
        <f>INDEX(Ave_Calc!$A:$XFD,23,15)</f>
        <v>12.871363586731345</v>
      </c>
      <c r="U64" s="78"/>
      <c r="V64" s="78">
        <f>INDEX(Ave_Calc!$A:$XFD,23,16)</f>
        <v>12.069184824682306</v>
      </c>
      <c r="W64" s="79"/>
    </row>
    <row r="65" spans="1:23" ht="12.75" customHeight="1">
      <c r="A65" s="122" t="s">
        <v>64</v>
      </c>
      <c r="B65" s="123"/>
      <c r="C65" s="124"/>
      <c r="D65" s="125">
        <f>INDEX(Ave_Calc!$A:$XFD,24,7)</f>
        <v>1.1662358196531384</v>
      </c>
      <c r="E65" s="69"/>
      <c r="F65" s="69">
        <f>INDEX(Ave_Calc!$A:$XFD,24,8)</f>
        <v>1.0279051274535915</v>
      </c>
      <c r="G65" s="69"/>
      <c r="H65" s="69">
        <f>INDEX(Ave_Calc!$A:$XFD,24,9)</f>
        <v>1.0816375482185177</v>
      </c>
      <c r="I65" s="69"/>
      <c r="J65" s="69">
        <f>INDEX(Ave_Calc!$A:$XFD,24,10)</f>
        <v>1.251304570808024</v>
      </c>
      <c r="K65" s="69"/>
      <c r="L65" s="69">
        <f>INDEX(Ave_Calc!$A:$XFD,24,11)</f>
        <v>1.260309066261477</v>
      </c>
      <c r="M65" s="69"/>
      <c r="N65" s="69">
        <f>INDEX(Ave_Calc!$A:$XFD,24,12)</f>
        <v>1.0385425283448029</v>
      </c>
      <c r="O65" s="69"/>
      <c r="P65" s="69">
        <f>INDEX(Ave_Calc!$A:$XFD,24,13)</f>
        <v>1.184423944072261</v>
      </c>
      <c r="Q65" s="69"/>
      <c r="R65" s="69">
        <f>INDEX(Ave_Calc!$A:$XFD,24,14)</f>
        <v>1.1331153787364747</v>
      </c>
      <c r="S65" s="69"/>
      <c r="T65" s="69">
        <f>INDEX(Ave_Calc!$A:$XFD,24,15)</f>
        <v>1.137582698181522</v>
      </c>
      <c r="U65" s="69"/>
      <c r="V65" s="69">
        <f>INDEX(Ave_Calc!$A:$XFD,24,16)</f>
        <v>1.122079112909527</v>
      </c>
      <c r="W65" s="80"/>
    </row>
    <row r="66" spans="1:23" ht="12.75" customHeight="1">
      <c r="A66" s="119" t="s">
        <v>115</v>
      </c>
      <c r="B66" s="120"/>
      <c r="C66" s="121"/>
      <c r="D66" s="136" t="s">
        <v>116</v>
      </c>
      <c r="E66" s="70"/>
      <c r="F66" s="70">
        <f>F64/D64</f>
        <v>1.0109105543115133</v>
      </c>
      <c r="G66" s="70"/>
      <c r="H66" s="70">
        <f>H64/F64</f>
        <v>0.8502570044924928</v>
      </c>
      <c r="I66" s="70"/>
      <c r="J66" s="70">
        <f>J64/H64</f>
        <v>0.8561444351185113</v>
      </c>
      <c r="K66" s="70"/>
      <c r="L66" s="70">
        <f>L64/J64</f>
        <v>1.1234074764230368</v>
      </c>
      <c r="M66" s="70"/>
      <c r="N66" s="70">
        <f>N64/L64</f>
        <v>1.036688661617772</v>
      </c>
      <c r="O66" s="70"/>
      <c r="P66" s="70">
        <f>P64/N64</f>
        <v>0.8750893145098634</v>
      </c>
      <c r="Q66" s="70"/>
      <c r="R66" s="70">
        <f>R64/P64</f>
        <v>1.0427400012039971</v>
      </c>
      <c r="S66" s="70"/>
      <c r="T66" s="70">
        <f>T64/R64</f>
        <v>0.9056338056021527</v>
      </c>
      <c r="U66" s="70"/>
      <c r="V66" s="70">
        <f>V64/T64</f>
        <v>0.9376772510042388</v>
      </c>
      <c r="W66" s="81"/>
    </row>
    <row r="67" spans="1:23" ht="12.75" customHeight="1">
      <c r="A67" s="16" t="s">
        <v>65</v>
      </c>
      <c r="B67" s="134" t="s">
        <v>66</v>
      </c>
      <c r="C67" s="135"/>
      <c r="D67" s="131">
        <f>INDEX(Ave_Calc!$A:$XFD,26,7)</f>
        <v>-0.00018995921529682804</v>
      </c>
      <c r="E67" s="132"/>
      <c r="F67" s="132"/>
      <c r="G67" s="132"/>
      <c r="H67" s="132"/>
      <c r="I67" s="132"/>
      <c r="J67" s="132"/>
      <c r="K67" s="133"/>
      <c r="L67" s="142">
        <f>INDEX(Ave_Calc!$A:$XFD,26,8)</f>
        <v>1.2799128314047081</v>
      </c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43"/>
    </row>
    <row r="68" spans="1:23" ht="12.75" customHeight="1" thickBot="1">
      <c r="A68" s="17" t="s">
        <v>68</v>
      </c>
      <c r="B68" s="137" t="s">
        <v>67</v>
      </c>
      <c r="C68" s="138"/>
      <c r="D68" s="128">
        <f>INDEX(Ave_Calc!$A:$XFD,26,9)</f>
        <v>0.7471329115390063</v>
      </c>
      <c r="E68" s="129"/>
      <c r="F68" s="129"/>
      <c r="G68" s="129"/>
      <c r="H68" s="129"/>
      <c r="I68" s="129"/>
      <c r="J68" s="129"/>
      <c r="K68" s="130"/>
      <c r="L68" s="139" t="str">
        <f>TEXT(LN(2)/ABS(LN(10^D67)),"#,##0")&amp;"d"&amp;"("&amp;TEXT(LN(2)/ABS(LN(10^D67))/365.42,"0.00")&amp;"y)"</f>
        <v>1,585d(4.34y)</v>
      </c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1"/>
    </row>
    <row r="69" spans="16:23" ht="12.75" customHeight="1">
      <c r="P69" s="26"/>
      <c r="Q69" s="26"/>
      <c r="R69" s="26"/>
      <c r="S69" s="26"/>
      <c r="T69" s="26"/>
      <c r="U69" s="26"/>
      <c r="V69" s="26"/>
      <c r="W69" s="26"/>
    </row>
    <row r="70" ht="12.75" customHeight="1"/>
    <row r="71" spans="18:25" ht="12.75">
      <c r="R71" s="27" t="s">
        <v>85</v>
      </c>
      <c r="S71" s="28"/>
      <c r="T71" s="28"/>
      <c r="U71" s="28"/>
      <c r="V71" s="28"/>
      <c r="W71" s="28"/>
      <c r="X71" s="28"/>
      <c r="Y71" s="28"/>
    </row>
    <row r="72" spans="18:25" ht="12.75">
      <c r="R72" s="27" t="s">
        <v>86</v>
      </c>
      <c r="S72" s="28"/>
      <c r="T72" s="28"/>
      <c r="U72" s="28"/>
      <c r="V72" s="28"/>
      <c r="W72" s="28"/>
      <c r="X72" s="28"/>
      <c r="Y72" s="28"/>
    </row>
    <row r="73" spans="18:25" ht="12.75">
      <c r="R73" s="33" t="s">
        <v>87</v>
      </c>
      <c r="S73" s="30"/>
      <c r="T73" s="30"/>
      <c r="U73" s="30"/>
      <c r="V73" s="31"/>
      <c r="W73" s="29"/>
      <c r="X73" s="30"/>
      <c r="Y73" s="30"/>
    </row>
    <row r="74" spans="18:25" ht="12.75">
      <c r="R74" s="33" t="s">
        <v>88</v>
      </c>
      <c r="S74" s="32"/>
      <c r="T74" s="32"/>
      <c r="U74" s="32"/>
      <c r="V74" s="32"/>
      <c r="W74" s="32"/>
      <c r="X74" s="32"/>
      <c r="Y74" s="32"/>
    </row>
    <row r="75" spans="18:25" ht="12.75">
      <c r="R75" s="33" t="s">
        <v>89</v>
      </c>
      <c r="S75" s="32"/>
      <c r="T75" s="32"/>
      <c r="U75" s="32"/>
      <c r="V75" s="32"/>
      <c r="W75" s="32"/>
      <c r="X75" s="32"/>
      <c r="Y75" s="32"/>
    </row>
    <row r="76" spans="18:25" ht="12.75">
      <c r="R76" s="33" t="s">
        <v>90</v>
      </c>
      <c r="S76" s="32"/>
      <c r="T76" s="32"/>
      <c r="U76" s="32"/>
      <c r="V76" s="32"/>
      <c r="W76" s="32"/>
      <c r="X76" s="32"/>
      <c r="Y76" s="32"/>
    </row>
    <row r="77" spans="18:25" ht="12.75">
      <c r="R77" s="33" t="s">
        <v>91</v>
      </c>
      <c r="S77" s="32"/>
      <c r="T77" s="32"/>
      <c r="U77" s="32"/>
      <c r="V77" s="32"/>
      <c r="W77" s="32"/>
      <c r="X77" s="32"/>
      <c r="Y77" s="32"/>
    </row>
    <row r="78" spans="18:25" ht="12.75">
      <c r="R78" s="33" t="s">
        <v>92</v>
      </c>
      <c r="S78" s="32"/>
      <c r="T78" s="32"/>
      <c r="U78" s="32"/>
      <c r="V78" s="32"/>
      <c r="W78" s="32"/>
      <c r="X78" s="32"/>
      <c r="Y78" s="32"/>
    </row>
    <row r="79" spans="18:25" ht="12.75">
      <c r="R79" s="33" t="s">
        <v>93</v>
      </c>
      <c r="S79" s="32"/>
      <c r="T79" s="32"/>
      <c r="U79" s="32"/>
      <c r="V79" s="32"/>
      <c r="W79" s="32"/>
      <c r="X79" s="32"/>
      <c r="Y79" s="32"/>
    </row>
    <row r="80" spans="18:25" ht="12.75">
      <c r="R80" s="33" t="s">
        <v>94</v>
      </c>
      <c r="S80" s="32"/>
      <c r="T80" s="32"/>
      <c r="U80" s="32"/>
      <c r="V80" s="32"/>
      <c r="W80" s="32"/>
      <c r="X80" s="32"/>
      <c r="Y80" s="32"/>
    </row>
    <row r="81" spans="18:25" ht="12.75">
      <c r="R81" s="33" t="s">
        <v>95</v>
      </c>
      <c r="S81" s="32"/>
      <c r="T81" s="32"/>
      <c r="U81" s="32"/>
      <c r="V81" s="32"/>
      <c r="W81" s="32"/>
      <c r="X81" s="32"/>
      <c r="Y81" s="32"/>
    </row>
    <row r="84" spans="18:25" ht="12.75">
      <c r="R84" s="18"/>
      <c r="S84" s="18"/>
      <c r="T84" s="18"/>
      <c r="U84" s="18"/>
      <c r="V84" s="18"/>
      <c r="W84" s="18"/>
      <c r="X84" s="18"/>
      <c r="Y84" s="18"/>
    </row>
    <row r="85" spans="18:25" ht="12.75">
      <c r="R85" s="50" t="s">
        <v>99</v>
      </c>
      <c r="S85" s="50"/>
      <c r="T85" s="50"/>
      <c r="U85" s="50"/>
      <c r="V85" s="50"/>
      <c r="W85" s="50"/>
      <c r="X85" s="50"/>
      <c r="Y85" s="50"/>
    </row>
    <row r="86" spans="18:25" ht="12.75">
      <c r="R86" s="50" t="s">
        <v>100</v>
      </c>
      <c r="S86" s="50"/>
      <c r="T86" s="50"/>
      <c r="U86" s="50"/>
      <c r="V86" s="50"/>
      <c r="W86" s="50"/>
      <c r="X86" s="50"/>
      <c r="Y86" s="50"/>
    </row>
    <row r="87" spans="18:25" ht="12.75">
      <c r="R87" s="53" t="s">
        <v>101</v>
      </c>
      <c r="S87" s="54"/>
      <c r="T87" s="54"/>
      <c r="U87" s="54"/>
      <c r="V87" s="55"/>
      <c r="W87" s="55"/>
      <c r="X87" s="54"/>
      <c r="Y87" s="54"/>
    </row>
    <row r="88" spans="18:25" ht="12.75">
      <c r="R88" s="53" t="s">
        <v>102</v>
      </c>
      <c r="S88" s="53"/>
      <c r="T88" s="53"/>
      <c r="U88" s="53"/>
      <c r="V88" s="53"/>
      <c r="W88" s="53"/>
      <c r="X88" s="53"/>
      <c r="Y88" s="53"/>
    </row>
    <row r="89" spans="18:25" ht="12.75">
      <c r="R89" s="53" t="s">
        <v>103</v>
      </c>
      <c r="S89" s="53"/>
      <c r="T89" s="53"/>
      <c r="U89" s="53"/>
      <c r="V89" s="53"/>
      <c r="W89" s="53"/>
      <c r="X89" s="53"/>
      <c r="Y89" s="53"/>
    </row>
    <row r="90" spans="18:25" ht="12.75">
      <c r="R90" s="53" t="s">
        <v>107</v>
      </c>
      <c r="S90" s="53"/>
      <c r="T90" s="53"/>
      <c r="U90" s="53"/>
      <c r="V90" s="53"/>
      <c r="W90" s="53"/>
      <c r="X90" s="53"/>
      <c r="Y90" s="53"/>
    </row>
    <row r="91" spans="18:25" ht="12.75">
      <c r="R91" s="53" t="s">
        <v>104</v>
      </c>
      <c r="S91" s="53"/>
      <c r="T91" s="53"/>
      <c r="U91" s="53"/>
      <c r="V91" s="53"/>
      <c r="W91" s="53"/>
      <c r="X91" s="53"/>
      <c r="Y91" s="53"/>
    </row>
    <row r="92" spans="18:25" ht="12.75">
      <c r="R92" s="53" t="s">
        <v>105</v>
      </c>
      <c r="S92" s="53"/>
      <c r="T92" s="53"/>
      <c r="U92" s="53"/>
      <c r="V92" s="53"/>
      <c r="W92" s="53"/>
      <c r="X92" s="53"/>
      <c r="Y92" s="53"/>
    </row>
    <row r="93" spans="18:25" ht="12.75">
      <c r="R93" s="53" t="s">
        <v>106</v>
      </c>
      <c r="S93" s="53"/>
      <c r="T93" s="53"/>
      <c r="U93" s="53"/>
      <c r="V93" s="53"/>
      <c r="W93" s="53"/>
      <c r="X93" s="53"/>
      <c r="Y93" s="53"/>
    </row>
    <row r="94" spans="18:25" ht="12.75">
      <c r="R94" s="53" t="s">
        <v>108</v>
      </c>
      <c r="S94" s="53"/>
      <c r="T94" s="53"/>
      <c r="U94" s="53"/>
      <c r="V94" s="53"/>
      <c r="W94" s="53"/>
      <c r="X94" s="53"/>
      <c r="Y94" s="53"/>
    </row>
    <row r="95" spans="18:25" ht="12.75">
      <c r="R95" s="53" t="s">
        <v>109</v>
      </c>
      <c r="S95" s="53"/>
      <c r="T95" s="53"/>
      <c r="U95" s="53"/>
      <c r="V95" s="53"/>
      <c r="W95" s="53"/>
      <c r="X95" s="53"/>
      <c r="Y95" s="53"/>
    </row>
    <row r="97" spans="18:23" ht="12.75">
      <c r="R97" s="56" t="s">
        <v>118</v>
      </c>
      <c r="S97" s="57"/>
      <c r="T97" s="57"/>
      <c r="U97" s="57"/>
      <c r="V97" s="57"/>
      <c r="W97" s="57"/>
    </row>
    <row r="98" spans="18:23" ht="12.75">
      <c r="R98" s="56" t="s">
        <v>119</v>
      </c>
      <c r="S98" s="57"/>
      <c r="T98" s="57"/>
      <c r="U98" s="57"/>
      <c r="V98" s="57"/>
      <c r="W98" s="57"/>
    </row>
    <row r="99" spans="18:23" ht="12.75">
      <c r="R99" s="58" t="s">
        <v>122</v>
      </c>
      <c r="S99" s="28"/>
      <c r="T99" s="28"/>
      <c r="U99" s="28"/>
      <c r="V99" s="28"/>
      <c r="W99" s="28"/>
    </row>
    <row r="100" spans="18:23" ht="12.75">
      <c r="R100" s="58" t="s">
        <v>131</v>
      </c>
      <c r="S100" s="28"/>
      <c r="T100" s="28"/>
      <c r="U100" s="28"/>
      <c r="V100" s="28"/>
      <c r="W100" s="28"/>
    </row>
    <row r="101" spans="18:23" ht="12.75">
      <c r="R101" s="58" t="s">
        <v>120</v>
      </c>
      <c r="S101" s="30"/>
      <c r="T101" s="30"/>
      <c r="U101" s="30"/>
      <c r="V101" s="30"/>
      <c r="W101" s="30"/>
    </row>
    <row r="102" spans="18:23" ht="12.75">
      <c r="R102" s="59" t="s">
        <v>121</v>
      </c>
      <c r="S102" s="32"/>
      <c r="T102" s="32"/>
      <c r="U102" s="32"/>
      <c r="V102" s="32"/>
      <c r="W102" s="32"/>
    </row>
    <row r="103" spans="18:23" ht="12.75">
      <c r="R103" s="58" t="s">
        <v>123</v>
      </c>
      <c r="S103" s="32"/>
      <c r="T103" s="32"/>
      <c r="U103" s="32"/>
      <c r="V103" s="32"/>
      <c r="W103" s="32"/>
    </row>
    <row r="104" spans="18:23" ht="12.75">
      <c r="R104" s="58" t="s">
        <v>124</v>
      </c>
      <c r="S104" s="32"/>
      <c r="T104" s="32"/>
      <c r="U104" s="32"/>
      <c r="V104" s="32"/>
      <c r="W104" s="32"/>
    </row>
    <row r="105" spans="18:23" ht="12.75">
      <c r="R105" s="58" t="s">
        <v>125</v>
      </c>
      <c r="S105" s="32"/>
      <c r="T105" s="32"/>
      <c r="U105" s="32"/>
      <c r="V105" s="32"/>
      <c r="W105" s="32"/>
    </row>
    <row r="106" spans="18:23" ht="12.75">
      <c r="R106" s="58" t="s">
        <v>126</v>
      </c>
      <c r="S106" s="32"/>
      <c r="T106" s="32"/>
      <c r="U106" s="32"/>
      <c r="V106" s="32"/>
      <c r="W106" s="32"/>
    </row>
    <row r="107" spans="18:23" ht="12.75">
      <c r="R107" s="58" t="s">
        <v>127</v>
      </c>
      <c r="S107" s="32"/>
      <c r="T107" s="32"/>
      <c r="U107" s="32"/>
      <c r="V107" s="32"/>
      <c r="W107" s="32"/>
    </row>
    <row r="108" spans="18:23" ht="12.75">
      <c r="R108" s="58" t="s">
        <v>128</v>
      </c>
      <c r="S108" s="32"/>
      <c r="T108" s="32"/>
      <c r="U108" s="32"/>
      <c r="V108" s="32"/>
      <c r="W108" s="32"/>
    </row>
    <row r="109" spans="18:23" ht="12.75">
      <c r="R109" s="58" t="s">
        <v>129</v>
      </c>
      <c r="S109" s="32"/>
      <c r="T109" s="32"/>
      <c r="U109" s="32"/>
      <c r="V109" s="32"/>
      <c r="W109" s="32"/>
    </row>
    <row r="110" spans="18:23" ht="12.75">
      <c r="R110" s="58" t="s">
        <v>130</v>
      </c>
      <c r="S110" s="32"/>
      <c r="T110" s="32"/>
      <c r="U110" s="32"/>
      <c r="V110" s="32"/>
      <c r="W110" s="32"/>
    </row>
  </sheetData>
  <mergeCells count="117">
    <mergeCell ref="J62:K62"/>
    <mergeCell ref="C51:C52"/>
    <mergeCell ref="L67:W67"/>
    <mergeCell ref="L60:M60"/>
    <mergeCell ref="N60:O60"/>
    <mergeCell ref="L61:M61"/>
    <mergeCell ref="N61:O61"/>
    <mergeCell ref="L62:M62"/>
    <mergeCell ref="N62:O62"/>
    <mergeCell ref="P60:Q60"/>
    <mergeCell ref="J65:K65"/>
    <mergeCell ref="P63:Q63"/>
    <mergeCell ref="P64:Q64"/>
    <mergeCell ref="J64:K64"/>
    <mergeCell ref="J63:K63"/>
    <mergeCell ref="L68:W68"/>
    <mergeCell ref="P65:Q65"/>
    <mergeCell ref="N63:O63"/>
    <mergeCell ref="L64:M64"/>
    <mergeCell ref="N64:O64"/>
    <mergeCell ref="L65:M65"/>
    <mergeCell ref="N65:O65"/>
    <mergeCell ref="L63:M63"/>
    <mergeCell ref="P66:Q66"/>
    <mergeCell ref="L66:M66"/>
    <mergeCell ref="F64:G64"/>
    <mergeCell ref="F62:G62"/>
    <mergeCell ref="H65:I65"/>
    <mergeCell ref="H62:I62"/>
    <mergeCell ref="H64:I64"/>
    <mergeCell ref="F63:G63"/>
    <mergeCell ref="H63:I63"/>
    <mergeCell ref="F65:G65"/>
    <mergeCell ref="D68:K68"/>
    <mergeCell ref="D67:K67"/>
    <mergeCell ref="B67:C67"/>
    <mergeCell ref="D66:E66"/>
    <mergeCell ref="F66:G66"/>
    <mergeCell ref="H66:I66"/>
    <mergeCell ref="B68:C68"/>
    <mergeCell ref="J66:K66"/>
    <mergeCell ref="A63:C63"/>
    <mergeCell ref="D64:E64"/>
    <mergeCell ref="A62:C62"/>
    <mergeCell ref="A66:C66"/>
    <mergeCell ref="A65:C65"/>
    <mergeCell ref="D65:E65"/>
    <mergeCell ref="A64:C64"/>
    <mergeCell ref="D62:E62"/>
    <mergeCell ref="D63:E63"/>
    <mergeCell ref="A10:B10"/>
    <mergeCell ref="A11:B11"/>
    <mergeCell ref="A12:B12"/>
    <mergeCell ref="A50:B51"/>
    <mergeCell ref="A13:B13"/>
    <mergeCell ref="J61:K61"/>
    <mergeCell ref="A61:C61"/>
    <mergeCell ref="C56:C57"/>
    <mergeCell ref="D61:E61"/>
    <mergeCell ref="F60:G60"/>
    <mergeCell ref="H60:I60"/>
    <mergeCell ref="F61:G61"/>
    <mergeCell ref="H61:I61"/>
    <mergeCell ref="C54:C55"/>
    <mergeCell ref="D60:E60"/>
    <mergeCell ref="D42:W59"/>
    <mergeCell ref="A60:C60"/>
    <mergeCell ref="T60:U60"/>
    <mergeCell ref="J60:K60"/>
    <mergeCell ref="R60:S60"/>
    <mergeCell ref="A3:W4"/>
    <mergeCell ref="C8:H8"/>
    <mergeCell ref="C7:H7"/>
    <mergeCell ref="C6:H6"/>
    <mergeCell ref="A6:B6"/>
    <mergeCell ref="A7:B7"/>
    <mergeCell ref="M6:N6"/>
    <mergeCell ref="A8:B8"/>
    <mergeCell ref="M7:N7"/>
    <mergeCell ref="M5:N5"/>
    <mergeCell ref="C12:K12"/>
    <mergeCell ref="M8:N8"/>
    <mergeCell ref="M10:N10"/>
    <mergeCell ref="M11:N11"/>
    <mergeCell ref="M12:N12"/>
    <mergeCell ref="M9:N9"/>
    <mergeCell ref="P61:Q61"/>
    <mergeCell ref="C9:K9"/>
    <mergeCell ref="C10:K10"/>
    <mergeCell ref="C11:K11"/>
    <mergeCell ref="M15:N15"/>
    <mergeCell ref="M13:N13"/>
    <mergeCell ref="M14:N14"/>
    <mergeCell ref="C13:K13"/>
    <mergeCell ref="A14:K14"/>
    <mergeCell ref="A15:K15"/>
    <mergeCell ref="R61:S61"/>
    <mergeCell ref="R62:S62"/>
    <mergeCell ref="R63:S63"/>
    <mergeCell ref="T62:U62"/>
    <mergeCell ref="T63:U63"/>
    <mergeCell ref="T61:U61"/>
    <mergeCell ref="T64:U64"/>
    <mergeCell ref="N66:O66"/>
    <mergeCell ref="R64:S64"/>
    <mergeCell ref="R65:S65"/>
    <mergeCell ref="R66:S66"/>
    <mergeCell ref="P62:Q62"/>
    <mergeCell ref="T65:U65"/>
    <mergeCell ref="T66:U66"/>
    <mergeCell ref="V60:W60"/>
    <mergeCell ref="V61:W61"/>
    <mergeCell ref="V62:W62"/>
    <mergeCell ref="V63:W63"/>
    <mergeCell ref="V64:W64"/>
    <mergeCell ref="V65:W65"/>
    <mergeCell ref="V66:W66"/>
  </mergeCells>
  <dataValidations count="1">
    <dataValidation type="list" allowBlank="1" showInputMessage="1" showErrorMessage="1" sqref="Y1">
      <formula1>"印刷,"</formula1>
    </dataValidation>
  </dataValidations>
  <printOptions/>
  <pageMargins left="0.7874015748031497" right="0" top="0.1968503937007874" bottom="0" header="0" footer="0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V69"/>
  <sheetViews>
    <sheetView view="pageBreakPreview" zoomScaleSheetLayoutView="100" workbookViewId="0" topLeftCell="A1">
      <selection activeCell="X23" sqref="X23"/>
    </sheetView>
  </sheetViews>
  <sheetFormatPr defaultColWidth="9.00390625" defaultRowHeight="13.5"/>
  <cols>
    <col min="1" max="21" width="4.625" style="5" customWidth="1"/>
    <col min="22" max="16384" width="9.00390625" style="5" customWidth="1"/>
  </cols>
  <sheetData>
    <row r="1" ht="12.75" customHeight="1"/>
    <row r="2" ht="12.75" customHeight="1"/>
    <row r="3" spans="1:20" ht="12.75" customHeight="1">
      <c r="A3" s="89" t="s">
        <v>19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ht="12.7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</row>
    <row r="5" spans="11:12" ht="12.75">
      <c r="K5" s="85"/>
      <c r="L5" s="85"/>
    </row>
    <row r="6" spans="1:13" ht="13.5" customHeight="1">
      <c r="A6" s="90" t="s">
        <v>4</v>
      </c>
      <c r="B6" s="91"/>
      <c r="C6" s="84" t="s">
        <v>139</v>
      </c>
      <c r="D6" s="86"/>
      <c r="E6" s="86"/>
      <c r="F6" s="86"/>
      <c r="G6" s="86"/>
      <c r="H6" s="86"/>
      <c r="K6" s="85">
        <v>0.48194444444444445</v>
      </c>
      <c r="L6" s="85"/>
      <c r="M6" s="6" t="s">
        <v>96</v>
      </c>
    </row>
    <row r="7" spans="1:13" ht="13.5" customHeight="1">
      <c r="A7" s="90" t="s">
        <v>5</v>
      </c>
      <c r="B7" s="91"/>
      <c r="C7" s="83" t="s">
        <v>138</v>
      </c>
      <c r="D7" s="82"/>
      <c r="E7" s="82"/>
      <c r="F7" s="82"/>
      <c r="G7" s="82"/>
      <c r="H7" s="82"/>
      <c r="K7" s="85"/>
      <c r="L7" s="85"/>
      <c r="M7" s="6" t="s">
        <v>18</v>
      </c>
    </row>
    <row r="8" spans="1:13" ht="13.5" customHeight="1">
      <c r="A8" s="90" t="s">
        <v>7</v>
      </c>
      <c r="B8" s="91"/>
      <c r="C8" s="83" t="s">
        <v>135</v>
      </c>
      <c r="D8" s="82"/>
      <c r="E8" s="82"/>
      <c r="F8" s="82"/>
      <c r="G8" s="82"/>
      <c r="H8" s="82"/>
      <c r="K8" s="85"/>
      <c r="L8" s="85"/>
      <c r="M8" s="5" t="s">
        <v>84</v>
      </c>
    </row>
    <row r="9" spans="3:13" ht="13.5" customHeight="1">
      <c r="C9" s="82"/>
      <c r="D9" s="82"/>
      <c r="E9" s="82"/>
      <c r="F9" s="82"/>
      <c r="G9" s="82"/>
      <c r="H9" s="82"/>
      <c r="I9" s="82"/>
      <c r="J9" s="82"/>
      <c r="K9" s="85">
        <v>0.4930555555555556</v>
      </c>
      <c r="L9" s="85"/>
      <c r="M9" s="6" t="s">
        <v>17</v>
      </c>
    </row>
    <row r="10" spans="1:13" ht="13.5" customHeight="1">
      <c r="A10" s="90" t="s">
        <v>11</v>
      </c>
      <c r="B10" s="91"/>
      <c r="C10" s="83" t="s">
        <v>14</v>
      </c>
      <c r="D10" s="82"/>
      <c r="E10" s="82"/>
      <c r="F10" s="82"/>
      <c r="G10" s="82"/>
      <c r="H10" s="82"/>
      <c r="I10" s="82"/>
      <c r="J10" s="82"/>
      <c r="K10" s="85">
        <v>0.5069444444444444</v>
      </c>
      <c r="L10" s="85"/>
      <c r="M10" s="6" t="s">
        <v>12</v>
      </c>
    </row>
    <row r="11" spans="1:13" ht="13.5" customHeight="1">
      <c r="A11" s="90" t="s">
        <v>6</v>
      </c>
      <c r="B11" s="91"/>
      <c r="C11" s="84" t="s">
        <v>136</v>
      </c>
      <c r="D11" s="86"/>
      <c r="E11" s="86"/>
      <c r="F11" s="86"/>
      <c r="G11" s="86"/>
      <c r="H11" s="86"/>
      <c r="I11" s="86"/>
      <c r="J11" s="86"/>
      <c r="K11" s="85">
        <v>0.5833333333333334</v>
      </c>
      <c r="L11" s="85"/>
      <c r="M11" s="6" t="s">
        <v>13</v>
      </c>
    </row>
    <row r="12" spans="1:13" ht="13.5" customHeight="1">
      <c r="A12" s="90" t="s">
        <v>9</v>
      </c>
      <c r="B12" s="91"/>
      <c r="C12" s="84" t="s">
        <v>141</v>
      </c>
      <c r="D12" s="86"/>
      <c r="E12" s="86"/>
      <c r="F12" s="86"/>
      <c r="G12" s="86"/>
      <c r="H12" s="86"/>
      <c r="I12" s="86"/>
      <c r="J12" s="86"/>
      <c r="K12" s="85">
        <v>0.6180555555555556</v>
      </c>
      <c r="L12" s="85"/>
      <c r="M12" s="6" t="s">
        <v>98</v>
      </c>
    </row>
    <row r="13" spans="1:13" ht="13.5" customHeight="1">
      <c r="A13" s="91"/>
      <c r="B13" s="91"/>
      <c r="C13" s="86"/>
      <c r="D13" s="86"/>
      <c r="E13" s="86"/>
      <c r="F13" s="86"/>
      <c r="G13" s="86"/>
      <c r="H13" s="86"/>
      <c r="I13" s="86"/>
      <c r="J13" s="86"/>
      <c r="K13" s="85"/>
      <c r="L13" s="85"/>
      <c r="M13" s="5" t="s">
        <v>15</v>
      </c>
    </row>
    <row r="14" spans="1:13" ht="12.75" customHeight="1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5"/>
      <c r="L14" s="85"/>
      <c r="M14" s="5" t="s">
        <v>16</v>
      </c>
    </row>
    <row r="15" spans="1:13" ht="13.5" customHeight="1">
      <c r="A15" s="88"/>
      <c r="B15" s="87"/>
      <c r="C15" s="87"/>
      <c r="D15" s="87"/>
      <c r="E15" s="87"/>
      <c r="F15" s="87"/>
      <c r="G15" s="87"/>
      <c r="H15" s="87"/>
      <c r="I15" s="87"/>
      <c r="J15" s="87"/>
      <c r="K15" s="85">
        <v>0.6458333333333334</v>
      </c>
      <c r="L15" s="85"/>
      <c r="M15" s="6" t="s">
        <v>8</v>
      </c>
    </row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spans="14:20" ht="12.75">
      <c r="N30" s="25"/>
      <c r="O30" s="25"/>
      <c r="P30" s="25"/>
      <c r="Q30" s="25"/>
      <c r="R30" s="25"/>
      <c r="S30" s="25"/>
      <c r="T30" s="25"/>
    </row>
    <row r="31" spans="14:20" ht="12.75">
      <c r="N31" s="28"/>
      <c r="O31" s="28"/>
      <c r="P31" s="28"/>
      <c r="Q31" s="28"/>
      <c r="R31" s="28"/>
      <c r="S31" s="28"/>
      <c r="T31" s="28"/>
    </row>
    <row r="32" spans="14:20" ht="12.75">
      <c r="N32" s="28"/>
      <c r="O32" s="28"/>
      <c r="P32" s="28"/>
      <c r="Q32" s="28"/>
      <c r="R32" s="28"/>
      <c r="S32" s="28"/>
      <c r="T32" s="28"/>
    </row>
    <row r="33" spans="14:20" ht="12.75">
      <c r="N33" s="32"/>
      <c r="O33" s="30"/>
      <c r="P33" s="30"/>
      <c r="Q33" s="31"/>
      <c r="R33" s="29"/>
      <c r="S33" s="30"/>
      <c r="T33" s="30"/>
    </row>
    <row r="34" spans="14:20" ht="12.75">
      <c r="N34" s="32"/>
      <c r="O34" s="32"/>
      <c r="P34" s="32"/>
      <c r="Q34" s="32"/>
      <c r="R34" s="32"/>
      <c r="S34" s="32"/>
      <c r="T34" s="32"/>
    </row>
    <row r="35" spans="14:20" ht="12.75">
      <c r="N35" s="32"/>
      <c r="O35" s="32"/>
      <c r="P35" s="32"/>
      <c r="Q35" s="32"/>
      <c r="R35" s="32"/>
      <c r="S35" s="32"/>
      <c r="T35" s="32"/>
    </row>
    <row r="36" spans="14:20" ht="12.75">
      <c r="N36" s="32"/>
      <c r="O36" s="32"/>
      <c r="P36" s="32"/>
      <c r="Q36" s="32"/>
      <c r="R36" s="32"/>
      <c r="S36" s="32"/>
      <c r="T36" s="32"/>
    </row>
    <row r="37" spans="14:20" ht="12.75">
      <c r="N37" s="32"/>
      <c r="O37" s="32"/>
      <c r="P37" s="32"/>
      <c r="Q37" s="32"/>
      <c r="R37" s="32"/>
      <c r="S37" s="32"/>
      <c r="T37" s="32"/>
    </row>
    <row r="38" spans="14:20" ht="12.75">
      <c r="N38" s="32"/>
      <c r="O38" s="32"/>
      <c r="P38" s="32"/>
      <c r="Q38" s="32"/>
      <c r="R38" s="32"/>
      <c r="S38" s="32"/>
      <c r="T38" s="32"/>
    </row>
    <row r="39" spans="14:20" ht="12.75">
      <c r="N39" s="32"/>
      <c r="O39" s="32"/>
      <c r="P39" s="32"/>
      <c r="Q39" s="32"/>
      <c r="R39" s="32"/>
      <c r="S39" s="32"/>
      <c r="T39" s="32"/>
    </row>
    <row r="40" spans="14:20" ht="12.75">
      <c r="N40" s="32"/>
      <c r="O40" s="32"/>
      <c r="P40" s="32"/>
      <c r="Q40" s="32"/>
      <c r="R40" s="32"/>
      <c r="S40" s="32"/>
      <c r="T40" s="32"/>
    </row>
    <row r="41" spans="14:20" ht="12.75" customHeight="1">
      <c r="N41" s="32"/>
      <c r="O41" s="32"/>
      <c r="P41" s="32"/>
      <c r="Q41" s="32"/>
      <c r="R41" s="32"/>
      <c r="S41" s="32"/>
      <c r="T41" s="32"/>
    </row>
    <row r="42" spans="14:20" ht="12.75" customHeight="1" thickBot="1">
      <c r="N42" s="26"/>
      <c r="O42" s="26"/>
      <c r="P42" s="26"/>
      <c r="Q42" s="26"/>
      <c r="R42" s="26"/>
      <c r="S42" s="26"/>
      <c r="T42" s="26"/>
    </row>
    <row r="43" spans="1:20" ht="12.75" customHeight="1">
      <c r="A43" s="146"/>
      <c r="B43" s="147"/>
      <c r="C43" s="148"/>
      <c r="D43" s="175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7"/>
    </row>
    <row r="44" spans="1:20" ht="12.75" customHeight="1">
      <c r="A44" s="149"/>
      <c r="B44" s="150"/>
      <c r="C44" s="151"/>
      <c r="D44" s="178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80"/>
    </row>
    <row r="45" spans="1:20" ht="12.75" customHeight="1">
      <c r="A45" s="110" t="s">
        <v>69</v>
      </c>
      <c r="B45" s="111"/>
      <c r="C45" s="40"/>
      <c r="D45" s="97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9"/>
    </row>
    <row r="46" spans="1:20" ht="12.75" customHeight="1">
      <c r="A46" s="110"/>
      <c r="B46" s="111"/>
      <c r="C46" s="40"/>
      <c r="D46" s="97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9"/>
    </row>
    <row r="47" spans="1:20" ht="12.75" customHeight="1">
      <c r="A47" s="110"/>
      <c r="B47" s="111"/>
      <c r="C47" s="40"/>
      <c r="D47" s="97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9"/>
    </row>
    <row r="48" spans="1:20" ht="12.75" customHeight="1">
      <c r="A48" s="110"/>
      <c r="B48" s="111"/>
      <c r="C48" s="40"/>
      <c r="D48" s="97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9"/>
    </row>
    <row r="49" spans="1:20" ht="12.75" customHeight="1">
      <c r="A49" s="110"/>
      <c r="B49" s="111"/>
      <c r="C49" s="38"/>
      <c r="D49" s="97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9"/>
    </row>
    <row r="50" spans="1:20" ht="12.75" customHeight="1">
      <c r="A50" s="110"/>
      <c r="B50" s="111"/>
      <c r="C50" s="38"/>
      <c r="D50" s="97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9"/>
    </row>
    <row r="51" spans="1:20" ht="12.75" customHeight="1">
      <c r="A51" s="110"/>
      <c r="B51" s="111"/>
      <c r="C51" s="34"/>
      <c r="D51" s="97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9"/>
    </row>
    <row r="52" spans="1:20" ht="12.75" customHeight="1">
      <c r="A52" s="110"/>
      <c r="B52" s="111"/>
      <c r="C52" s="34"/>
      <c r="D52" s="97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9"/>
    </row>
    <row r="53" spans="1:20" ht="12.75" customHeight="1">
      <c r="A53" s="110"/>
      <c r="B53" s="111"/>
      <c r="C53" s="34"/>
      <c r="D53" s="97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9"/>
    </row>
    <row r="54" spans="1:20" ht="12.75" customHeight="1">
      <c r="A54" s="110"/>
      <c r="B54" s="111"/>
      <c r="C54" s="38"/>
      <c r="D54" s="97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9"/>
    </row>
    <row r="55" spans="1:20" ht="12.75" customHeight="1">
      <c r="A55" s="110"/>
      <c r="B55" s="111"/>
      <c r="C55" s="38"/>
      <c r="D55" s="97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9"/>
    </row>
    <row r="56" spans="1:20" ht="12.75" customHeight="1">
      <c r="A56" s="110"/>
      <c r="B56" s="111"/>
      <c r="C56" s="38"/>
      <c r="D56" s="97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9"/>
    </row>
    <row r="57" spans="1:20" ht="12.75" customHeight="1">
      <c r="A57" s="110"/>
      <c r="B57" s="111"/>
      <c r="C57" s="38"/>
      <c r="D57" s="97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9"/>
    </row>
    <row r="58" spans="1:20" ht="12.75" customHeight="1">
      <c r="A58" s="110"/>
      <c r="B58" s="111"/>
      <c r="C58" s="38"/>
      <c r="D58" s="97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9"/>
    </row>
    <row r="59" spans="1:20" ht="12.75" customHeight="1">
      <c r="A59" s="110"/>
      <c r="B59" s="111"/>
      <c r="C59" s="38"/>
      <c r="D59" s="97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9"/>
    </row>
    <row r="60" spans="1:20" ht="12.75" customHeight="1">
      <c r="A60" s="110"/>
      <c r="B60" s="111"/>
      <c r="C60" s="34"/>
      <c r="D60" s="97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9"/>
    </row>
    <row r="61" spans="1:20" ht="12.75" customHeight="1">
      <c r="A61" s="110"/>
      <c r="B61" s="111"/>
      <c r="C61" s="34"/>
      <c r="D61" s="172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4"/>
    </row>
    <row r="62" spans="1:20" ht="12.75" customHeight="1">
      <c r="A62" s="21"/>
      <c r="B62" s="22"/>
      <c r="C62" s="34"/>
      <c r="D62" s="168" t="s">
        <v>74</v>
      </c>
      <c r="E62" s="169"/>
      <c r="F62" s="170" t="s">
        <v>65</v>
      </c>
      <c r="G62" s="154"/>
      <c r="H62" s="154" t="s">
        <v>66</v>
      </c>
      <c r="I62" s="154"/>
      <c r="J62" s="154" t="s">
        <v>75</v>
      </c>
      <c r="K62" s="155"/>
      <c r="L62" s="156" t="s">
        <v>76</v>
      </c>
      <c r="M62" s="156"/>
      <c r="N62" s="157"/>
      <c r="O62" s="158">
        <v>40613</v>
      </c>
      <c r="P62" s="158"/>
      <c r="Q62" s="159">
        <v>0.05</v>
      </c>
      <c r="R62" s="160"/>
      <c r="S62" s="160"/>
      <c r="T62" s="161"/>
    </row>
    <row r="63" spans="1:22" ht="12.75" customHeight="1" thickBot="1">
      <c r="A63" s="23"/>
      <c r="B63" s="24"/>
      <c r="C63" s="35"/>
      <c r="D63" s="166" t="s">
        <v>73</v>
      </c>
      <c r="E63" s="167"/>
      <c r="F63" s="171">
        <f>INDEX(Ave_Calc!$A:$XFD,26,7)</f>
        <v>-0.00018995921529682804</v>
      </c>
      <c r="G63" s="162"/>
      <c r="H63" s="162">
        <f>INDEX(Ave_Calc!$A:$XFD,26,8)</f>
        <v>1.2799128314047081</v>
      </c>
      <c r="I63" s="162"/>
      <c r="J63" s="162">
        <f>INDEX(Ave_Calc!$A:$XFD,26,9)</f>
        <v>0.7471329115390063</v>
      </c>
      <c r="K63" s="163"/>
      <c r="L63" s="164" t="str">
        <f>TEXT(LN(2)/ABS(LN(10^F63)),"#,##0")&amp;"d"&amp;"("&amp;TEXT(LN(2)/ABS(LN(10^F63))/365.42,"0.00")&amp;"y)"</f>
        <v>1,585d(4.34y)</v>
      </c>
      <c r="M63" s="164"/>
      <c r="N63" s="164"/>
      <c r="O63" s="165">
        <f>10^H63</f>
        <v>19.050783053990813</v>
      </c>
      <c r="P63" s="165"/>
      <c r="Q63" s="144">
        <f>(LOG($Q$62)-$H63)/$F63</f>
        <v>13586.826114414815</v>
      </c>
      <c r="R63" s="145"/>
      <c r="S63" s="152">
        <f>(LOG($Q$62)-$H63)/$F63/365.26</f>
        <v>37.19768415488916</v>
      </c>
      <c r="T63" s="153"/>
      <c r="V63" s="67">
        <f>AVERAGE(S41:T43,S63)</f>
        <v>37.19768415488916</v>
      </c>
    </row>
    <row r="64" spans="1:22" ht="12.75" customHeight="1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V64" s="67">
        <f ca="1">DATEDIF(DATE(2011,3,11),TODAY(),"D")/365.26</f>
        <v>2.72956250342222</v>
      </c>
    </row>
    <row r="65" spans="1:22" ht="12.75" customHeight="1">
      <c r="A65" s="42" t="s">
        <v>78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4"/>
      <c r="V65" s="67">
        <f>V63-V64</f>
        <v>34.46812165146694</v>
      </c>
    </row>
    <row r="66" spans="1:20" ht="12.75" customHeight="1">
      <c r="A66" s="48" t="s">
        <v>79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45"/>
    </row>
    <row r="67" spans="1:20" ht="12.75" customHeight="1">
      <c r="A67" s="62" t="str">
        <f>" ます。0.05μSv/rh到達日が、"&amp;TEXT(V63,"##.0")&amp;"年となりました。"&amp;TEXT(V64,"##.0")&amp;"年経過したので、あと"&amp;TEXT(V65,"##.0")&amp;"年です。"</f>
        <v> ます。0.05μSv/rh到達日が、37.2年となりました。2.7年経過したので、あと34.5年です。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45"/>
    </row>
    <row r="68" spans="1:20" ht="12.75" customHeight="1">
      <c r="A68" s="52"/>
      <c r="B68" s="32"/>
      <c r="C68" s="32" t="s">
        <v>81</v>
      </c>
      <c r="D68" s="32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45"/>
    </row>
    <row r="69" spans="1:20" ht="12.75" customHeight="1">
      <c r="A69" s="49"/>
      <c r="B69" s="46"/>
      <c r="C69" s="46" t="s">
        <v>82</v>
      </c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7"/>
    </row>
    <row r="70" ht="12.75" customHeight="1"/>
    <row r="71" ht="12.75" customHeight="1"/>
  </sheetData>
  <mergeCells count="48">
    <mergeCell ref="D45:T61"/>
    <mergeCell ref="D43:T44"/>
    <mergeCell ref="A3:T4"/>
    <mergeCell ref="K5:L5"/>
    <mergeCell ref="A6:B6"/>
    <mergeCell ref="C6:H6"/>
    <mergeCell ref="K6:L6"/>
    <mergeCell ref="A7:B7"/>
    <mergeCell ref="C7:H7"/>
    <mergeCell ref="K7:L7"/>
    <mergeCell ref="A8:B8"/>
    <mergeCell ref="C8:H8"/>
    <mergeCell ref="K8:L8"/>
    <mergeCell ref="C9:J9"/>
    <mergeCell ref="K9:L9"/>
    <mergeCell ref="A10:B10"/>
    <mergeCell ref="C10:J10"/>
    <mergeCell ref="K10:L10"/>
    <mergeCell ref="A11:B11"/>
    <mergeCell ref="C11:J11"/>
    <mergeCell ref="K11:L11"/>
    <mergeCell ref="A12:B12"/>
    <mergeCell ref="C12:J12"/>
    <mergeCell ref="K12:L12"/>
    <mergeCell ref="A13:B13"/>
    <mergeCell ref="C13:J13"/>
    <mergeCell ref="K13:L13"/>
    <mergeCell ref="K14:L14"/>
    <mergeCell ref="A14:J14"/>
    <mergeCell ref="K15:L15"/>
    <mergeCell ref="A15:J15"/>
    <mergeCell ref="O63:P63"/>
    <mergeCell ref="D63:E63"/>
    <mergeCell ref="D62:E62"/>
    <mergeCell ref="F62:G62"/>
    <mergeCell ref="H62:I62"/>
    <mergeCell ref="F63:G63"/>
    <mergeCell ref="H63:I63"/>
    <mergeCell ref="Q63:R63"/>
    <mergeCell ref="A43:C44"/>
    <mergeCell ref="A45:B61"/>
    <mergeCell ref="S63:T63"/>
    <mergeCell ref="J62:K62"/>
    <mergeCell ref="L62:N62"/>
    <mergeCell ref="O62:P62"/>
    <mergeCell ref="Q62:T62"/>
    <mergeCell ref="J63:K63"/>
    <mergeCell ref="L63:N63"/>
  </mergeCells>
  <printOptions/>
  <pageMargins left="0.7874015748031497" right="0" top="0.1968503937007874" bottom="0" header="0" footer="0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8:R62"/>
  <sheetViews>
    <sheetView workbookViewId="0" topLeftCell="A4">
      <pane xSplit="3" ySplit="7" topLeftCell="D11" activePane="bottomRight" state="frozen"/>
      <selection pane="topLeft" activeCell="A4" sqref="A4"/>
      <selection pane="topRight" activeCell="D4" sqref="D4"/>
      <selection pane="bottomLeft" activeCell="A11" sqref="A11"/>
      <selection pane="bottomRight" activeCell="M11" sqref="M11"/>
    </sheetView>
  </sheetViews>
  <sheetFormatPr defaultColWidth="9.00390625" defaultRowHeight="13.5"/>
  <cols>
    <col min="1" max="1" width="4.625" style="3" customWidth="1"/>
    <col min="2" max="3" width="13.625" style="3" customWidth="1"/>
    <col min="4" max="16384" width="9.00390625" style="3" customWidth="1"/>
  </cols>
  <sheetData>
    <row r="8" spans="2:13" ht="14.25">
      <c r="B8" t="s">
        <v>10</v>
      </c>
      <c r="I8" s="7"/>
      <c r="J8" s="7"/>
      <c r="K8" s="7" t="s">
        <v>61</v>
      </c>
      <c r="L8" s="7" t="s">
        <v>132</v>
      </c>
      <c r="M8" s="7" t="s">
        <v>132</v>
      </c>
    </row>
    <row r="9" spans="4:18" ht="14.25">
      <c r="D9" s="63">
        <v>40758</v>
      </c>
      <c r="E9" s="63">
        <v>40873</v>
      </c>
      <c r="F9" s="63">
        <v>40986</v>
      </c>
      <c r="G9" s="63">
        <v>41055</v>
      </c>
      <c r="H9" s="63">
        <v>41189</v>
      </c>
      <c r="I9" s="63">
        <v>41236</v>
      </c>
      <c r="J9" s="63">
        <v>41356</v>
      </c>
      <c r="K9" s="63">
        <v>41433</v>
      </c>
      <c r="L9" s="63">
        <v>41496</v>
      </c>
      <c r="M9" s="66">
        <v>41580</v>
      </c>
      <c r="N9" s="63"/>
      <c r="O9" s="63"/>
      <c r="P9" s="63"/>
      <c r="Q9" s="63"/>
      <c r="R9" s="63"/>
    </row>
    <row r="10" spans="1:13" ht="14.25">
      <c r="A10" s="7" t="s">
        <v>3</v>
      </c>
      <c r="B10" s="4" t="s">
        <v>0</v>
      </c>
      <c r="C10" s="4" t="s">
        <v>1</v>
      </c>
      <c r="D10" s="1" t="s">
        <v>2</v>
      </c>
      <c r="E10" s="1" t="s">
        <v>2</v>
      </c>
      <c r="F10" s="1" t="s">
        <v>2</v>
      </c>
      <c r="G10" s="1" t="s">
        <v>2</v>
      </c>
      <c r="H10" s="1" t="s">
        <v>83</v>
      </c>
      <c r="I10" s="1" t="s">
        <v>2</v>
      </c>
      <c r="J10" s="1" t="s">
        <v>83</v>
      </c>
      <c r="K10" s="1" t="s">
        <v>2</v>
      </c>
      <c r="L10" s="1" t="s">
        <v>2</v>
      </c>
      <c r="M10" s="1" t="s">
        <v>2</v>
      </c>
    </row>
    <row r="11" spans="1:13" ht="14.25">
      <c r="A11" s="3">
        <v>1</v>
      </c>
      <c r="B11" s="2">
        <v>1.558697048611111</v>
      </c>
      <c r="C11" s="2">
        <v>5.875121180555556</v>
      </c>
      <c r="D11" s="3">
        <v>13.7</v>
      </c>
      <c r="E11" s="3">
        <v>17.2</v>
      </c>
      <c r="F11" s="3">
        <v>13.2</v>
      </c>
      <c r="G11" s="3">
        <v>10.4</v>
      </c>
      <c r="H11" s="3">
        <v>11.5</v>
      </c>
      <c r="I11" s="3">
        <v>14.2</v>
      </c>
      <c r="J11" s="3">
        <v>12</v>
      </c>
      <c r="K11" s="3">
        <v>13</v>
      </c>
      <c r="L11" s="3">
        <v>11.7</v>
      </c>
      <c r="M11" s="3">
        <v>11.8</v>
      </c>
    </row>
    <row r="12" spans="1:13" ht="14.25">
      <c r="A12" s="3">
        <v>2</v>
      </c>
      <c r="B12" s="2">
        <v>1.558697048611111</v>
      </c>
      <c r="C12" s="2">
        <v>5.8751201678240745</v>
      </c>
      <c r="D12" s="3">
        <v>14.5</v>
      </c>
      <c r="E12" s="3">
        <v>17.8</v>
      </c>
      <c r="F12" s="3">
        <v>13.2</v>
      </c>
      <c r="G12" s="3">
        <v>10.6</v>
      </c>
      <c r="H12" s="3">
        <v>14.8</v>
      </c>
      <c r="I12" s="3">
        <v>14.6</v>
      </c>
      <c r="J12" s="3">
        <v>12.7</v>
      </c>
      <c r="K12" s="3">
        <v>13.1</v>
      </c>
      <c r="L12" s="3">
        <v>12.2</v>
      </c>
      <c r="M12" s="3">
        <v>12.2</v>
      </c>
    </row>
    <row r="13" spans="1:13" ht="14.25">
      <c r="A13" s="3">
        <v>3</v>
      </c>
      <c r="B13" s="2">
        <v>1.5586980613425925</v>
      </c>
      <c r="C13" s="2">
        <v>5.8751208912037045</v>
      </c>
      <c r="D13" s="3">
        <v>17.6</v>
      </c>
      <c r="E13" s="3">
        <v>17.7</v>
      </c>
      <c r="F13" s="3">
        <v>15.3</v>
      </c>
      <c r="G13" s="3">
        <v>12</v>
      </c>
      <c r="H13" s="3">
        <v>11.7</v>
      </c>
      <c r="I13" s="3">
        <v>15.8</v>
      </c>
      <c r="J13" s="3">
        <v>13.3</v>
      </c>
      <c r="K13" s="3">
        <v>10.6</v>
      </c>
      <c r="L13" s="3">
        <v>11.8</v>
      </c>
      <c r="M13" s="3">
        <v>12.7</v>
      </c>
    </row>
    <row r="14" spans="1:13" ht="14.25">
      <c r="A14" s="3">
        <v>4</v>
      </c>
      <c r="B14" s="2">
        <v>1.5586989293981481</v>
      </c>
      <c r="C14" s="2">
        <v>5.875120601851853</v>
      </c>
      <c r="D14" s="3">
        <v>18.5</v>
      </c>
      <c r="E14" s="3">
        <v>18.6</v>
      </c>
      <c r="F14" s="3">
        <v>15.4</v>
      </c>
      <c r="G14" s="3">
        <v>12.4</v>
      </c>
      <c r="H14" s="3">
        <v>10.8</v>
      </c>
      <c r="I14" s="3">
        <v>16</v>
      </c>
      <c r="J14" s="3">
        <v>11.6</v>
      </c>
      <c r="K14" s="3">
        <v>13.6</v>
      </c>
      <c r="L14" s="3">
        <v>12</v>
      </c>
      <c r="M14" s="3">
        <v>9.07</v>
      </c>
    </row>
    <row r="15" spans="1:13" ht="14.25">
      <c r="A15" s="3">
        <v>5</v>
      </c>
      <c r="B15" s="2">
        <v>1.5586997974537036</v>
      </c>
      <c r="C15" s="2">
        <v>5.875120312500001</v>
      </c>
      <c r="D15" s="3">
        <v>20.1</v>
      </c>
      <c r="E15" s="3">
        <v>18.6</v>
      </c>
      <c r="F15" s="3">
        <v>15.9</v>
      </c>
      <c r="G15" s="3">
        <v>12.5</v>
      </c>
      <c r="H15" s="3">
        <v>10.4</v>
      </c>
      <c r="I15" s="3">
        <v>16</v>
      </c>
      <c r="J15" s="3">
        <v>12.3</v>
      </c>
      <c r="K15" s="3">
        <v>14</v>
      </c>
      <c r="L15" s="3">
        <v>12.7</v>
      </c>
      <c r="M15" s="3">
        <v>13.4</v>
      </c>
    </row>
    <row r="16" spans="1:13" ht="14.25">
      <c r="A16" s="3">
        <v>6</v>
      </c>
      <c r="B16" s="2">
        <v>1.5586996527777777</v>
      </c>
      <c r="C16" s="2">
        <v>5.875119010416667</v>
      </c>
      <c r="D16" s="3">
        <v>20.5</v>
      </c>
      <c r="E16" s="3">
        <v>18.5</v>
      </c>
      <c r="F16" s="3">
        <v>16.1</v>
      </c>
      <c r="G16" s="3">
        <v>12.1</v>
      </c>
      <c r="H16" s="3">
        <v>15.6</v>
      </c>
      <c r="I16" s="3">
        <v>16</v>
      </c>
      <c r="J16" s="3">
        <v>12.5</v>
      </c>
      <c r="K16" s="3">
        <v>13.8</v>
      </c>
      <c r="L16" s="3">
        <v>12</v>
      </c>
      <c r="M16" s="3">
        <v>11.3</v>
      </c>
    </row>
    <row r="17" spans="1:13" ht="14.25">
      <c r="A17" s="3">
        <v>7</v>
      </c>
      <c r="B17" s="2">
        <v>1.5586993634259259</v>
      </c>
      <c r="C17" s="2">
        <v>5.875117708333334</v>
      </c>
      <c r="D17" s="3">
        <v>20.8</v>
      </c>
      <c r="E17" s="3">
        <v>18.7</v>
      </c>
      <c r="F17" s="3">
        <v>16.2</v>
      </c>
      <c r="G17" s="3">
        <v>11.9</v>
      </c>
      <c r="H17" s="3">
        <v>17.1</v>
      </c>
      <c r="I17" s="3">
        <v>16</v>
      </c>
      <c r="J17" s="3">
        <v>13</v>
      </c>
      <c r="K17" s="3">
        <v>13.7</v>
      </c>
      <c r="L17" s="3">
        <v>12.4</v>
      </c>
      <c r="M17" s="3">
        <v>11.7</v>
      </c>
    </row>
    <row r="18" spans="1:13" ht="14.25">
      <c r="A18" s="3">
        <v>8</v>
      </c>
      <c r="B18" s="2">
        <v>1.5586983506944443</v>
      </c>
      <c r="C18" s="2">
        <v>5.8751179976851855</v>
      </c>
      <c r="D18" s="3">
        <v>22.3</v>
      </c>
      <c r="E18" s="3">
        <v>18.7</v>
      </c>
      <c r="F18" s="3">
        <v>16.4</v>
      </c>
      <c r="G18" s="3">
        <v>11.9</v>
      </c>
      <c r="H18" s="3">
        <v>13.7</v>
      </c>
      <c r="I18" s="3">
        <v>15.9</v>
      </c>
      <c r="J18" s="3">
        <v>9.4</v>
      </c>
      <c r="K18" s="3">
        <v>16.9</v>
      </c>
      <c r="L18" s="3">
        <v>11.3</v>
      </c>
      <c r="M18" s="3">
        <v>10.2</v>
      </c>
    </row>
    <row r="19" spans="1:13" ht="14.25">
      <c r="A19" s="3">
        <v>9</v>
      </c>
      <c r="B19" s="2">
        <v>1.5586974826388889</v>
      </c>
      <c r="C19" s="2">
        <v>5.875118287037037</v>
      </c>
      <c r="D19" s="3">
        <v>23</v>
      </c>
      <c r="E19" s="3">
        <v>18.9</v>
      </c>
      <c r="F19" s="3">
        <v>16.6</v>
      </c>
      <c r="G19" s="3">
        <v>11.4</v>
      </c>
      <c r="H19" s="3">
        <v>19</v>
      </c>
      <c r="I19" s="3">
        <v>15.9</v>
      </c>
      <c r="J19" s="3">
        <v>16.2</v>
      </c>
      <c r="K19" s="3">
        <v>17.6</v>
      </c>
      <c r="L19" s="3">
        <v>15.3</v>
      </c>
      <c r="M19" s="3">
        <v>13.2</v>
      </c>
    </row>
    <row r="20" spans="1:13" ht="14.25">
      <c r="A20" s="3">
        <v>10</v>
      </c>
      <c r="B20" s="2">
        <v>1.558696759259259</v>
      </c>
      <c r="C20" s="2">
        <v>5.875118576388889</v>
      </c>
      <c r="D20" s="3">
        <v>15.2</v>
      </c>
      <c r="E20" s="3">
        <v>18.1</v>
      </c>
      <c r="F20" s="3">
        <v>15.2</v>
      </c>
      <c r="G20" s="3">
        <v>12.3</v>
      </c>
      <c r="H20" s="3">
        <v>18.8</v>
      </c>
      <c r="I20" s="3">
        <v>15</v>
      </c>
      <c r="J20" s="3">
        <v>15.6</v>
      </c>
      <c r="K20" s="3">
        <v>13.4</v>
      </c>
      <c r="L20" s="3">
        <v>14.1</v>
      </c>
      <c r="M20" s="3">
        <v>12.9</v>
      </c>
    </row>
    <row r="21" spans="1:13" ht="14.25">
      <c r="A21" s="3">
        <v>11</v>
      </c>
      <c r="B21" s="2">
        <v>1.5586963252314814</v>
      </c>
      <c r="C21" s="2">
        <v>5.875119155092594</v>
      </c>
      <c r="D21" s="3">
        <v>17.5</v>
      </c>
      <c r="E21" s="3">
        <v>18.4</v>
      </c>
      <c r="F21" s="3">
        <v>15.8</v>
      </c>
      <c r="G21" s="3">
        <v>20.4</v>
      </c>
      <c r="H21" s="3">
        <v>20.1</v>
      </c>
      <c r="I21" s="3">
        <v>15.5</v>
      </c>
      <c r="J21" s="3">
        <v>15.9</v>
      </c>
      <c r="K21" s="3">
        <v>14.9</v>
      </c>
      <c r="L21" s="3">
        <v>18.4</v>
      </c>
      <c r="M21" s="3">
        <v>14.2</v>
      </c>
    </row>
    <row r="22" spans="1:13" ht="14.25">
      <c r="A22" s="3">
        <v>12</v>
      </c>
      <c r="B22" s="2">
        <v>1.5586954571759257</v>
      </c>
      <c r="C22" s="2">
        <v>5.875119155092594</v>
      </c>
      <c r="D22" s="3">
        <v>18.1</v>
      </c>
      <c r="E22" s="3">
        <v>18.9</v>
      </c>
      <c r="F22" s="3">
        <v>16.4</v>
      </c>
      <c r="G22" s="3">
        <v>18.2</v>
      </c>
      <c r="H22" s="3">
        <v>20.3</v>
      </c>
      <c r="I22" s="3">
        <v>15.8</v>
      </c>
      <c r="J22" s="3">
        <v>16.4</v>
      </c>
      <c r="K22" s="3">
        <v>14.9</v>
      </c>
      <c r="L22" s="3">
        <v>12.9</v>
      </c>
      <c r="M22" s="3">
        <v>12.8</v>
      </c>
    </row>
    <row r="23" spans="1:13" ht="14.25">
      <c r="A23" s="3">
        <v>13</v>
      </c>
      <c r="B23" s="2">
        <v>1.5586957465277778</v>
      </c>
      <c r="C23" s="2">
        <v>5.875120312500001</v>
      </c>
      <c r="D23" s="3">
        <v>17.9</v>
      </c>
      <c r="E23" s="3">
        <v>18.6</v>
      </c>
      <c r="F23" s="3">
        <v>17</v>
      </c>
      <c r="G23" s="3">
        <v>18.4</v>
      </c>
      <c r="H23" s="3">
        <v>16.6</v>
      </c>
      <c r="I23" s="3">
        <v>15.8</v>
      </c>
      <c r="J23" s="3">
        <v>16.5</v>
      </c>
      <c r="K23" s="3">
        <v>15.7</v>
      </c>
      <c r="L23" s="3">
        <v>12.5</v>
      </c>
      <c r="M23" s="3">
        <v>12.4</v>
      </c>
    </row>
    <row r="24" spans="1:13" ht="14.25">
      <c r="A24" s="3">
        <v>14</v>
      </c>
      <c r="B24" s="2">
        <v>1.5586960358796296</v>
      </c>
      <c r="C24" s="2">
        <v>5.875121325231482</v>
      </c>
      <c r="D24" s="3">
        <v>17.5</v>
      </c>
      <c r="E24" s="3">
        <v>18.6</v>
      </c>
      <c r="F24" s="3">
        <v>16.6</v>
      </c>
      <c r="G24" s="3">
        <v>17.4</v>
      </c>
      <c r="H24" s="3">
        <v>15.1</v>
      </c>
      <c r="I24" s="3">
        <v>15.7</v>
      </c>
      <c r="J24" s="3">
        <v>15.9</v>
      </c>
      <c r="K24" s="3">
        <v>15.2</v>
      </c>
      <c r="L24" s="3">
        <v>12.4</v>
      </c>
      <c r="M24" s="3">
        <v>12.1</v>
      </c>
    </row>
    <row r="25" spans="1:13" ht="14.25">
      <c r="A25" s="3">
        <v>15</v>
      </c>
      <c r="B25" s="2">
        <v>1.558697800925926</v>
      </c>
      <c r="C25" s="2">
        <v>5.875121087962963</v>
      </c>
      <c r="E25" s="3">
        <v>37.4</v>
      </c>
      <c r="H25" s="3">
        <v>15.6</v>
      </c>
      <c r="I25" s="3">
        <v>15.3</v>
      </c>
      <c r="J25" s="3">
        <v>12.5</v>
      </c>
      <c r="K25" s="3">
        <v>11.7</v>
      </c>
      <c r="L25" s="3">
        <v>26</v>
      </c>
      <c r="M25" s="3">
        <v>13.2</v>
      </c>
    </row>
    <row r="26" spans="2:3" ht="14.25">
      <c r="B26" s="2"/>
      <c r="C26" s="2"/>
    </row>
    <row r="27" spans="2:3" ht="14.25">
      <c r="B27" s="2"/>
      <c r="C27" s="2"/>
    </row>
    <row r="28" spans="2:3" ht="14.25">
      <c r="B28" s="2"/>
      <c r="C28" s="2"/>
    </row>
    <row r="29" spans="2:3" ht="14.25">
      <c r="B29" s="2"/>
      <c r="C29" s="2"/>
    </row>
    <row r="30" spans="2:3" ht="14.25">
      <c r="B30" s="2"/>
      <c r="C30" s="2"/>
    </row>
    <row r="31" spans="2:3" ht="14.25">
      <c r="B31" s="2"/>
      <c r="C31" s="2"/>
    </row>
    <row r="32" spans="2:3" ht="14.25">
      <c r="B32" s="2"/>
      <c r="C32" s="2"/>
    </row>
    <row r="33" spans="2:3" ht="14.25">
      <c r="B33" s="2"/>
      <c r="C33" s="2"/>
    </row>
    <row r="34" spans="2:3" ht="14.25">
      <c r="B34" s="2"/>
      <c r="C34" s="2"/>
    </row>
    <row r="35" spans="2:3" ht="14.25">
      <c r="B35" s="2"/>
      <c r="C35" s="2"/>
    </row>
    <row r="36" spans="2:3" ht="14.25">
      <c r="B36" s="2"/>
      <c r="C36" s="2"/>
    </row>
    <row r="37" spans="2:3" ht="14.25">
      <c r="B37" s="2"/>
      <c r="C37" s="2"/>
    </row>
    <row r="38" spans="2:3" ht="14.25">
      <c r="B38" s="2"/>
      <c r="C38" s="2"/>
    </row>
    <row r="39" spans="2:3" ht="14.25">
      <c r="B39" s="2"/>
      <c r="C39" s="2"/>
    </row>
    <row r="40" spans="2:3" ht="14.25">
      <c r="B40" s="2"/>
      <c r="C40" s="2"/>
    </row>
    <row r="41" spans="2:3" ht="14.25">
      <c r="B41" s="2"/>
      <c r="C41" s="2"/>
    </row>
    <row r="42" spans="2:3" ht="14.25">
      <c r="B42" s="2"/>
      <c r="C42" s="2"/>
    </row>
    <row r="43" spans="2:3" ht="14.25">
      <c r="B43" s="2"/>
      <c r="C43" s="2"/>
    </row>
    <row r="44" spans="2:3" ht="14.25">
      <c r="B44" s="2"/>
      <c r="C44" s="2"/>
    </row>
    <row r="45" spans="2:3" ht="14.25">
      <c r="B45" s="2"/>
      <c r="C45" s="2"/>
    </row>
    <row r="46" spans="2:3" ht="14.25">
      <c r="B46" s="2"/>
      <c r="C46" s="2"/>
    </row>
    <row r="47" spans="2:3" ht="14.25">
      <c r="B47" s="2"/>
      <c r="C47" s="2"/>
    </row>
    <row r="48" spans="2:3" ht="14.25">
      <c r="B48" s="2"/>
      <c r="C48" s="2"/>
    </row>
    <row r="49" spans="2:3" ht="14.25">
      <c r="B49" s="2"/>
      <c r="C49" s="2"/>
    </row>
    <row r="50" spans="2:3" ht="14.25">
      <c r="B50" s="2"/>
      <c r="C50" s="2"/>
    </row>
    <row r="51" spans="2:3" ht="14.25">
      <c r="B51" s="2"/>
      <c r="C51" s="2"/>
    </row>
    <row r="52" spans="2:3" ht="14.25">
      <c r="B52" s="2"/>
      <c r="C52" s="2"/>
    </row>
    <row r="53" spans="2:3" ht="14.25">
      <c r="B53" s="2"/>
      <c r="C53" s="2"/>
    </row>
    <row r="54" spans="2:3" ht="14.25">
      <c r="B54" s="2"/>
      <c r="C54" s="2"/>
    </row>
    <row r="55" spans="2:3" ht="14.25">
      <c r="B55" s="2"/>
      <c r="C55" s="2"/>
    </row>
    <row r="56" spans="2:3" ht="14.25">
      <c r="B56" s="2"/>
      <c r="C56" s="2"/>
    </row>
    <row r="57" spans="2:3" ht="14.25">
      <c r="B57" s="2"/>
      <c r="C57" s="2"/>
    </row>
    <row r="58" spans="2:3" ht="14.25">
      <c r="B58" s="2"/>
      <c r="C58" s="2"/>
    </row>
    <row r="59" spans="2:3" ht="14.25">
      <c r="B59" s="2"/>
      <c r="C59" s="2"/>
    </row>
    <row r="60" spans="2:3" ht="14.25">
      <c r="B60" s="2"/>
      <c r="C60" s="2"/>
    </row>
    <row r="61" spans="2:3" ht="14.25">
      <c r="B61" s="2"/>
      <c r="C61" s="2"/>
    </row>
    <row r="62" spans="2:3" ht="14.25">
      <c r="B62" s="2"/>
      <c r="C62" s="2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9:M24"/>
  <sheetViews>
    <sheetView workbookViewId="0" topLeftCell="A1">
      <pane xSplit="3" ySplit="10" topLeftCell="I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M11" sqref="M11"/>
    </sheetView>
  </sheetViews>
  <sheetFormatPr defaultColWidth="9.00390625" defaultRowHeight="13.5"/>
  <cols>
    <col min="1" max="1" width="4.625" style="0" customWidth="1"/>
    <col min="4" max="13" width="10.625" style="0" customWidth="1"/>
  </cols>
  <sheetData>
    <row r="9" spans="4:13" ht="13.5">
      <c r="D9" s="8">
        <f>INDEX('測定結果'!$A:$XFD,ROW(),COLUMN())</f>
        <v>40758</v>
      </c>
      <c r="E9" s="8">
        <f>INDEX('測定結果'!$A:$XFD,ROW(),COLUMN())</f>
        <v>40873</v>
      </c>
      <c r="F9" s="8">
        <f>INDEX('測定結果'!$A:$XFD,ROW(),COLUMN())</f>
        <v>40986</v>
      </c>
      <c r="G9" s="8">
        <f>INDEX('測定結果'!$A:$XFD,ROW(),COLUMN())</f>
        <v>41055</v>
      </c>
      <c r="H9" s="8">
        <f>INDEX('測定結果'!$A:$XFD,ROW(),COLUMN())</f>
        <v>41189</v>
      </c>
      <c r="I9" s="8">
        <f>INDEX('測定結果'!$A:$XFD,ROW(),COLUMN())</f>
        <v>41236</v>
      </c>
      <c r="J9" s="8">
        <f>INDEX('測定結果'!$A:$XFD,ROW(),COLUMN())</f>
        <v>41356</v>
      </c>
      <c r="K9" s="8">
        <f>INDEX('測定結果'!$A:$XFD,ROW(),COLUMN())</f>
        <v>41433</v>
      </c>
      <c r="L9" s="8">
        <f>INDEX('測定結果'!$A:$XFD,ROW(),COLUMN())</f>
        <v>41496</v>
      </c>
      <c r="M9" s="8">
        <f>INDEX('測定結果'!$A:$XFD,ROW(),COLUMN())</f>
        <v>41580</v>
      </c>
    </row>
    <row r="10" spans="1:13" ht="13.5">
      <c r="A10" t="str">
        <f>INDEX('測定結果'!$A:$XFD,ROW(),COLUMN())</f>
        <v>No.</v>
      </c>
      <c r="B10" t="str">
        <f>INDEX('測定結果'!$A:$XFD,ROW(),COLUMN())</f>
        <v>緯度</v>
      </c>
      <c r="C10" t="str">
        <f>INDEX('測定結果'!$A:$XFD,ROW(),COLUMN())</f>
        <v>経度</v>
      </c>
      <c r="D10" t="str">
        <f>INDEX('測定結果'!$A:$XFD,ROW(),COLUMN())</f>
        <v>測定値</v>
      </c>
      <c r="E10" t="str">
        <f>INDEX('測定結果'!$A:$XFD,ROW(),COLUMN())</f>
        <v>測定値</v>
      </c>
      <c r="F10" t="str">
        <f>INDEX('測定結果'!$A:$XFD,ROW(),COLUMN())</f>
        <v>測定値</v>
      </c>
      <c r="G10" t="str">
        <f>INDEX('測定結果'!$A:$XFD,ROW(),COLUMN())</f>
        <v>測定値</v>
      </c>
      <c r="H10" t="str">
        <f>INDEX('測定結果'!$A:$XFD,ROW(),COLUMN())</f>
        <v>測定値</v>
      </c>
      <c r="I10" t="str">
        <f>INDEX('測定結果'!$A:$XFD,ROW(),COLUMN())</f>
        <v>測定値</v>
      </c>
      <c r="J10" t="str">
        <f>INDEX('測定結果'!$A:$XFD,ROW(),COLUMN())</f>
        <v>測定値</v>
      </c>
      <c r="K10" t="str">
        <f>INDEX('測定結果'!$A:$XFD,ROW(),COLUMN())</f>
        <v>測定値</v>
      </c>
      <c r="L10" t="str">
        <f>INDEX('測定結果'!$A:$XFD,ROW(),COLUMN())</f>
        <v>測定値</v>
      </c>
      <c r="M10" t="str">
        <f>INDEX('測定結果'!$A:$XFD,ROW(),COLUMN())</f>
        <v>測定値</v>
      </c>
    </row>
    <row r="11" spans="1:13" ht="13.5">
      <c r="A11">
        <f>INDEX('測定結果'!$A:$XFD,ROW(),COLUMN())</f>
        <v>1</v>
      </c>
      <c r="B11">
        <f>INDEX('測定結果'!$A:$XFD,ROW(),COLUMN())</f>
        <v>1.558697048611111</v>
      </c>
      <c r="C11">
        <f>INDEX('測定結果'!$A:$XFD,ROW(),COLUMN())</f>
        <v>5.875121180555556</v>
      </c>
      <c r="D11">
        <f>LOG(INDEX('測定結果'!$A:$XFD,ROW(),COLUMN()))</f>
        <v>1.1367205671564067</v>
      </c>
      <c r="E11">
        <f>LOG(INDEX('測定結果'!$A:$XFD,ROW(),COLUMN()))</f>
        <v>1.235528446907549</v>
      </c>
      <c r="F11">
        <f>LOG(INDEX('測定結果'!$A:$XFD,ROW(),COLUMN()))</f>
        <v>1.1205739312058498</v>
      </c>
      <c r="G11">
        <f>LOG(INDEX('測定結果'!$A:$XFD,ROW(),COLUMN()))</f>
        <v>1.0170333392987803</v>
      </c>
      <c r="H11">
        <f>LOG(INDEX('測定結果'!$A:$XFD,ROW(),COLUMN()))</f>
        <v>1.0606978403536116</v>
      </c>
      <c r="I11">
        <f>LOG(INDEX('測定結果'!$A:$XFD,ROW(),COLUMN()))</f>
        <v>1.1522883443830565</v>
      </c>
      <c r="J11">
        <f>LOG(INDEX('測定結果'!$A:$XFD,ROW(),COLUMN()))</f>
        <v>1.0791812460476249</v>
      </c>
      <c r="K11">
        <f>LOG(INDEX('測定結果'!$A:$XFD,ROW(),COLUMN()))</f>
        <v>1.1139433523068367</v>
      </c>
      <c r="L11">
        <f>LOG(INDEX('測定結果'!$A:$XFD,ROW(),COLUMN()))</f>
        <v>1.0681858617461617</v>
      </c>
      <c r="M11">
        <f>LOG(INDEX('測定結果'!$A:$XFD,ROW(),COLUMN()))</f>
        <v>1.0718820073061255</v>
      </c>
    </row>
    <row r="12" spans="1:13" ht="13.5">
      <c r="A12">
        <f>INDEX('測定結果'!$A:$XFD,ROW(),COLUMN())</f>
        <v>2</v>
      </c>
      <c r="B12">
        <f>INDEX('測定結果'!$A:$XFD,ROW(),COLUMN())</f>
        <v>1.558697048611111</v>
      </c>
      <c r="C12">
        <f>INDEX('測定結果'!$A:$XFD,ROW(),COLUMN())</f>
        <v>5.8751201678240745</v>
      </c>
      <c r="D12">
        <f>LOG(INDEX('測定結果'!$A:$XFD,ROW(),COLUMN()))</f>
        <v>1.1613680022349748</v>
      </c>
      <c r="E12">
        <f>LOG(INDEX('測定結果'!$A:$XFD,ROW(),COLUMN()))</f>
        <v>1.250420002308894</v>
      </c>
      <c r="F12">
        <f>LOG(INDEX('測定結果'!$A:$XFD,ROW(),COLUMN()))</f>
        <v>1.1205739312058498</v>
      </c>
      <c r="G12">
        <f>LOG(INDEX('測定結果'!$A:$XFD,ROW(),COLUMN()))</f>
        <v>1.0253058652647702</v>
      </c>
      <c r="H12">
        <f>LOG(INDEX('測定結果'!$A:$XFD,ROW(),COLUMN()))</f>
        <v>1.1702617153949575</v>
      </c>
      <c r="I12">
        <f>LOG(INDEX('測定結果'!$A:$XFD,ROW(),COLUMN()))</f>
        <v>1.1643528557844371</v>
      </c>
      <c r="J12">
        <f>LOG(INDEX('測定結果'!$A:$XFD,ROW(),COLUMN()))</f>
        <v>1.1038037209559568</v>
      </c>
      <c r="K12">
        <f>LOG(INDEX('測定結果'!$A:$XFD,ROW(),COLUMN()))</f>
        <v>1.1172712956557642</v>
      </c>
      <c r="L12">
        <f>LOG(INDEX('測定結果'!$A:$XFD,ROW(),COLUMN()))</f>
        <v>1.0863598306747482</v>
      </c>
      <c r="M12">
        <f>LOG(INDEX('測定結果'!$A:$XFD,ROW(),COLUMN()))</f>
        <v>1.0863598306747482</v>
      </c>
    </row>
    <row r="13" spans="1:13" ht="13.5">
      <c r="A13">
        <f>INDEX('測定結果'!$A:$XFD,ROW(),COLUMN())</f>
        <v>3</v>
      </c>
      <c r="B13">
        <f>INDEX('測定結果'!$A:$XFD,ROW(),COLUMN())</f>
        <v>1.5586980613425925</v>
      </c>
      <c r="C13">
        <f>INDEX('測定結果'!$A:$XFD,ROW(),COLUMN())</f>
        <v>5.8751208912037045</v>
      </c>
      <c r="D13">
        <f>LOG(INDEX('測定結果'!$A:$XFD,ROW(),COLUMN()))</f>
        <v>1.24551266781415</v>
      </c>
      <c r="E13">
        <f>LOG(INDEX('測定結果'!$A:$XFD,ROW(),COLUMN()))</f>
        <v>1.2479732663618066</v>
      </c>
      <c r="F13">
        <f>LOG(INDEX('測定結果'!$A:$XFD,ROW(),COLUMN()))</f>
        <v>1.1846914308175989</v>
      </c>
      <c r="G13">
        <f>LOG(INDEX('測定結果'!$A:$XFD,ROW(),COLUMN()))</f>
        <v>1.0791812460476249</v>
      </c>
      <c r="H13">
        <f>LOG(INDEX('測定結果'!$A:$XFD,ROW(),COLUMN()))</f>
        <v>1.0681858617461617</v>
      </c>
      <c r="I13">
        <f>LOG(INDEX('測定結果'!$A:$XFD,ROW(),COLUMN()))</f>
        <v>1.1986570869544226</v>
      </c>
      <c r="J13">
        <f>LOG(INDEX('測定結果'!$A:$XFD,ROW(),COLUMN()))</f>
        <v>1.1238516409670858</v>
      </c>
      <c r="K13">
        <f>LOG(INDEX('測定結果'!$A:$XFD,ROW(),COLUMN()))</f>
        <v>1.0253058652647702</v>
      </c>
      <c r="L13">
        <f>LOG(INDEX('測定結果'!$A:$XFD,ROW(),COLUMN()))</f>
        <v>1.0718820073061255</v>
      </c>
      <c r="M13">
        <f>LOG(INDEX('測定結果'!$A:$XFD,ROW(),COLUMN()))</f>
        <v>1.1038037209559568</v>
      </c>
    </row>
    <row r="14" spans="1:13" ht="13.5">
      <c r="A14">
        <f>INDEX('測定結果'!$A:$XFD,ROW(),COLUMN())</f>
        <v>4</v>
      </c>
      <c r="B14">
        <f>INDEX('測定結果'!$A:$XFD,ROW(),COLUMN())</f>
        <v>1.5586989293981481</v>
      </c>
      <c r="C14">
        <f>INDEX('測定結果'!$A:$XFD,ROW(),COLUMN())</f>
        <v>5.875120601851853</v>
      </c>
      <c r="D14">
        <f>LOG(INDEX('測定結果'!$A:$XFD,ROW(),COLUMN()))</f>
        <v>1.2671717284030137</v>
      </c>
      <c r="E14">
        <f>LOG(INDEX('測定結果'!$A:$XFD,ROW(),COLUMN()))</f>
        <v>1.2695129442179163</v>
      </c>
      <c r="F14">
        <f>LOG(INDEX('測定結果'!$A:$XFD,ROW(),COLUMN()))</f>
        <v>1.187520720836463</v>
      </c>
      <c r="G14">
        <f>LOG(INDEX('測定結果'!$A:$XFD,ROW(),COLUMN()))</f>
        <v>1.0934216851622351</v>
      </c>
      <c r="H14">
        <f>LOG(INDEX('測定結果'!$A:$XFD,ROW(),COLUMN()))</f>
        <v>1.0334237554869496</v>
      </c>
      <c r="I14">
        <f>LOG(INDEX('測定結果'!$A:$XFD,ROW(),COLUMN()))</f>
        <v>1.2041199826559248</v>
      </c>
      <c r="J14">
        <f>LOG(INDEX('測定結果'!$A:$XFD,ROW(),COLUMN()))</f>
        <v>1.0644579892269184</v>
      </c>
      <c r="K14">
        <f>LOG(INDEX('測定結果'!$A:$XFD,ROW(),COLUMN()))</f>
        <v>1.1335389083702174</v>
      </c>
      <c r="L14">
        <f>LOG(INDEX('測定結果'!$A:$XFD,ROW(),COLUMN()))</f>
        <v>1.0791812460476249</v>
      </c>
      <c r="M14">
        <f>LOG(INDEX('測定結果'!$A:$XFD,ROW(),COLUMN()))</f>
        <v>0.9576072870600952</v>
      </c>
    </row>
    <row r="15" spans="1:13" ht="13.5">
      <c r="A15">
        <f>INDEX('測定結果'!$A:$XFD,ROW(),COLUMN())</f>
        <v>5</v>
      </c>
      <c r="B15">
        <f>INDEX('測定結果'!$A:$XFD,ROW(),COLUMN())</f>
        <v>1.5586997974537036</v>
      </c>
      <c r="C15">
        <f>INDEX('測定結果'!$A:$XFD,ROW(),COLUMN())</f>
        <v>5.875120312500001</v>
      </c>
      <c r="D15">
        <f>LOG(INDEX('測定結果'!$A:$XFD,ROW(),COLUMN()))</f>
        <v>1.3031960574204888</v>
      </c>
      <c r="E15">
        <f>LOG(INDEX('測定結果'!$A:$XFD,ROW(),COLUMN()))</f>
        <v>1.2695129442179163</v>
      </c>
      <c r="F15">
        <f>LOG(INDEX('測定結果'!$A:$XFD,ROW(),COLUMN()))</f>
        <v>1.2013971243204515</v>
      </c>
      <c r="G15">
        <f>LOG(INDEX('測定結果'!$A:$XFD,ROW(),COLUMN()))</f>
        <v>1.0969100130080565</v>
      </c>
      <c r="H15">
        <f>LOG(INDEX('測定結果'!$A:$XFD,ROW(),COLUMN()))</f>
        <v>1.0170333392987803</v>
      </c>
      <c r="I15">
        <f>LOG(INDEX('測定結果'!$A:$XFD,ROW(),COLUMN()))</f>
        <v>1.2041199826559248</v>
      </c>
      <c r="J15">
        <f>LOG(INDEX('測定結果'!$A:$XFD,ROW(),COLUMN()))</f>
        <v>1.089905111439398</v>
      </c>
      <c r="K15">
        <f>LOG(INDEX('測定結果'!$A:$XFD,ROW(),COLUMN()))</f>
        <v>1.146128035678238</v>
      </c>
      <c r="L15">
        <f>LOG(INDEX('測定結果'!$A:$XFD,ROW(),COLUMN()))</f>
        <v>1.1038037209559568</v>
      </c>
      <c r="M15">
        <f>LOG(INDEX('測定結果'!$A:$XFD,ROW(),COLUMN()))</f>
        <v>1.1271047983648077</v>
      </c>
    </row>
    <row r="16" spans="1:13" ht="13.5">
      <c r="A16">
        <f>INDEX('測定結果'!$A:$XFD,ROW(),COLUMN())</f>
        <v>6</v>
      </c>
      <c r="B16">
        <f>INDEX('測定結果'!$A:$XFD,ROW(),COLUMN())</f>
        <v>1.5586996527777777</v>
      </c>
      <c r="C16">
        <f>INDEX('測定結果'!$A:$XFD,ROW(),COLUMN())</f>
        <v>5.875119010416667</v>
      </c>
      <c r="D16">
        <f>LOG(INDEX('測定結果'!$A:$XFD,ROW(),COLUMN()))</f>
        <v>1.3117538610557542</v>
      </c>
      <c r="E16">
        <f>LOG(INDEX('測定結果'!$A:$XFD,ROW(),COLUMN()))</f>
        <v>1.2671717284030137</v>
      </c>
      <c r="F16">
        <f>LOG(INDEX('測定結果'!$A:$XFD,ROW(),COLUMN()))</f>
        <v>1.2068258760318498</v>
      </c>
      <c r="G16">
        <f>LOG(INDEX('測定結果'!$A:$XFD,ROW(),COLUMN()))</f>
        <v>1.08278537031645</v>
      </c>
      <c r="H16">
        <f>LOG(INDEX('測定結果'!$A:$XFD,ROW(),COLUMN()))</f>
        <v>1.1931245983544616</v>
      </c>
      <c r="I16">
        <f>LOG(INDEX('測定結果'!$A:$XFD,ROW(),COLUMN()))</f>
        <v>1.2041199826559248</v>
      </c>
      <c r="J16">
        <f>LOG(INDEX('測定結果'!$A:$XFD,ROW(),COLUMN()))</f>
        <v>1.0969100130080565</v>
      </c>
      <c r="K16">
        <f>LOG(INDEX('測定結果'!$A:$XFD,ROW(),COLUMN()))</f>
        <v>1.1398790864012365</v>
      </c>
      <c r="L16">
        <f>LOG(INDEX('測定結果'!$A:$XFD,ROW(),COLUMN()))</f>
        <v>1.0791812460476249</v>
      </c>
      <c r="M16">
        <f>LOG(INDEX('測定結果'!$A:$XFD,ROW(),COLUMN()))</f>
        <v>1.0530784434834197</v>
      </c>
    </row>
    <row r="17" spans="1:13" ht="13.5">
      <c r="A17">
        <f>INDEX('測定結果'!$A:$XFD,ROW(),COLUMN())</f>
        <v>7</v>
      </c>
      <c r="B17">
        <f>INDEX('測定結果'!$A:$XFD,ROW(),COLUMN())</f>
        <v>1.5586993634259259</v>
      </c>
      <c r="C17">
        <f>INDEX('測定結果'!$A:$XFD,ROW(),COLUMN())</f>
        <v>5.875117708333334</v>
      </c>
      <c r="D17">
        <f>LOG(INDEX('測定結果'!$A:$XFD,ROW(),COLUMN()))</f>
        <v>1.3180633349627615</v>
      </c>
      <c r="E17">
        <f>LOG(INDEX('測定結果'!$A:$XFD,ROW(),COLUMN()))</f>
        <v>1.271841606536499</v>
      </c>
      <c r="F17">
        <f>LOG(INDEX('測定結果'!$A:$XFD,ROW(),COLUMN()))</f>
        <v>1.209515014542631</v>
      </c>
      <c r="G17">
        <f>LOG(INDEX('測定結果'!$A:$XFD,ROW(),COLUMN()))</f>
        <v>1.0755469613925308</v>
      </c>
      <c r="H17">
        <f>LOG(INDEX('測定結果'!$A:$XFD,ROW(),COLUMN()))</f>
        <v>1.2329961103921538</v>
      </c>
      <c r="I17">
        <f>LOG(INDEX('測定結果'!$A:$XFD,ROW(),COLUMN()))</f>
        <v>1.2041199826559248</v>
      </c>
      <c r="J17">
        <f>LOG(INDEX('測定結果'!$A:$XFD,ROW(),COLUMN()))</f>
        <v>1.1139433523068367</v>
      </c>
      <c r="K17">
        <f>LOG(INDEX('測定結果'!$A:$XFD,ROW(),COLUMN()))</f>
        <v>1.1367205671564067</v>
      </c>
      <c r="L17">
        <f>LOG(INDEX('測定結果'!$A:$XFD,ROW(),COLUMN()))</f>
        <v>1.0934216851622351</v>
      </c>
      <c r="M17">
        <f>LOG(INDEX('測定結果'!$A:$XFD,ROW(),COLUMN()))</f>
        <v>1.0681858617461617</v>
      </c>
    </row>
    <row r="18" spans="1:13" ht="13.5">
      <c r="A18">
        <f>INDEX('測定結果'!$A:$XFD,ROW(),COLUMN())</f>
        <v>8</v>
      </c>
      <c r="B18">
        <f>INDEX('測定結果'!$A:$XFD,ROW(),COLUMN())</f>
        <v>1.5586983506944443</v>
      </c>
      <c r="C18">
        <f>INDEX('測定結果'!$A:$XFD,ROW(),COLUMN())</f>
        <v>5.8751179976851855</v>
      </c>
      <c r="D18">
        <f>LOG(INDEX('測定結果'!$A:$XFD,ROW(),COLUMN()))</f>
        <v>1.3483048630481607</v>
      </c>
      <c r="E18">
        <f>LOG(INDEX('測定結果'!$A:$XFD,ROW(),COLUMN()))</f>
        <v>1.271841606536499</v>
      </c>
      <c r="F18">
        <f>LOG(INDEX('測定結果'!$A:$XFD,ROW(),COLUMN()))</f>
        <v>1.2148438480476977</v>
      </c>
      <c r="G18">
        <f>LOG(INDEX('測定結果'!$A:$XFD,ROW(),COLUMN()))</f>
        <v>1.0755469613925308</v>
      </c>
      <c r="H18">
        <f>LOG(INDEX('測定結果'!$A:$XFD,ROW(),COLUMN()))</f>
        <v>1.1367205671564067</v>
      </c>
      <c r="I18">
        <f>LOG(INDEX('測定結果'!$A:$XFD,ROW(),COLUMN()))</f>
        <v>1.2013971243204515</v>
      </c>
      <c r="J18">
        <f>LOG(INDEX('測定結果'!$A:$XFD,ROW(),COLUMN()))</f>
        <v>0.9731278535996987</v>
      </c>
      <c r="K18">
        <f>LOG(INDEX('測定結果'!$A:$XFD,ROW(),COLUMN()))</f>
        <v>1.2278867046136734</v>
      </c>
      <c r="L18">
        <f>LOG(INDEX('測定結果'!$A:$XFD,ROW(),COLUMN()))</f>
        <v>1.0530784434834197</v>
      </c>
      <c r="M18">
        <f>LOG(INDEX('測定結果'!$A:$XFD,ROW(),COLUMN()))</f>
        <v>1.0086001717619175</v>
      </c>
    </row>
    <row r="19" spans="1:13" ht="13.5">
      <c r="A19">
        <f>INDEX('測定結果'!$A:$XFD,ROW(),COLUMN())</f>
        <v>9</v>
      </c>
      <c r="B19">
        <f>INDEX('測定結果'!$A:$XFD,ROW(),COLUMN())</f>
        <v>1.5586974826388889</v>
      </c>
      <c r="C19">
        <f>INDEX('測定結果'!$A:$XFD,ROW(),COLUMN())</f>
        <v>5.875118287037037</v>
      </c>
      <c r="D19">
        <f>LOG(INDEX('測定結果'!$A:$XFD,ROW(),COLUMN()))</f>
        <v>1.3617278360175928</v>
      </c>
      <c r="E19">
        <f>LOG(INDEX('測定結果'!$A:$XFD,ROW(),COLUMN()))</f>
        <v>1.276461804173244</v>
      </c>
      <c r="F19">
        <f>LOG(INDEX('測定結果'!$A:$XFD,ROW(),COLUMN()))</f>
        <v>1.2201080880400552</v>
      </c>
      <c r="G19">
        <f>LOG(INDEX('測定結果'!$A:$XFD,ROW(),COLUMN()))</f>
        <v>1.0569048513364727</v>
      </c>
      <c r="H19">
        <f>LOG(INDEX('測定結果'!$A:$XFD,ROW(),COLUMN()))</f>
        <v>1.2787536009528289</v>
      </c>
      <c r="I19">
        <f>LOG(INDEX('測定結果'!$A:$XFD,ROW(),COLUMN()))</f>
        <v>1.2013971243204515</v>
      </c>
      <c r="J19">
        <f>LOG(INDEX('測定結果'!$A:$XFD,ROW(),COLUMN()))</f>
        <v>1.209515014542631</v>
      </c>
      <c r="K19">
        <f>LOG(INDEX('測定結果'!$A:$XFD,ROW(),COLUMN()))</f>
        <v>1.24551266781415</v>
      </c>
      <c r="L19">
        <f>LOG(INDEX('測定結果'!$A:$XFD,ROW(),COLUMN()))</f>
        <v>1.1846914308175989</v>
      </c>
      <c r="M19">
        <f>LOG(INDEX('測定結果'!$A:$XFD,ROW(),COLUMN()))</f>
        <v>1.1205739312058498</v>
      </c>
    </row>
    <row r="20" spans="1:13" ht="13.5">
      <c r="A20">
        <f>INDEX('測定結果'!$A:$XFD,ROW(),COLUMN())</f>
        <v>10</v>
      </c>
      <c r="B20">
        <f>INDEX('測定結果'!$A:$XFD,ROW(),COLUMN())</f>
        <v>1.558696759259259</v>
      </c>
      <c r="C20">
        <f>INDEX('測定結果'!$A:$XFD,ROW(),COLUMN())</f>
        <v>5.875118576388889</v>
      </c>
      <c r="D20">
        <f>LOG(INDEX('測定結果'!$A:$XFD,ROW(),COLUMN()))</f>
        <v>1.1818435879447726</v>
      </c>
      <c r="E20">
        <f>LOG(INDEX('測定結果'!$A:$XFD,ROW(),COLUMN()))</f>
        <v>1.2576785748691846</v>
      </c>
      <c r="F20">
        <f>LOG(INDEX('測定結果'!$A:$XFD,ROW(),COLUMN()))</f>
        <v>1.1818435879447726</v>
      </c>
      <c r="G20">
        <f>LOG(INDEX('測定結果'!$A:$XFD,ROW(),COLUMN()))</f>
        <v>1.089905111439398</v>
      </c>
      <c r="H20">
        <f>LOG(INDEX('測定結果'!$A:$XFD,ROW(),COLUMN()))</f>
        <v>1.2741578492636798</v>
      </c>
      <c r="I20">
        <f>LOG(INDEX('測定結果'!$A:$XFD,ROW(),COLUMN()))</f>
        <v>1.1760912590556813</v>
      </c>
      <c r="J20">
        <f>LOG(INDEX('測定結果'!$A:$XFD,ROW(),COLUMN()))</f>
        <v>1.1931245983544616</v>
      </c>
      <c r="K20">
        <f>LOG(INDEX('測定結果'!$A:$XFD,ROW(),COLUMN()))</f>
        <v>1.1271047983648077</v>
      </c>
      <c r="L20">
        <f>LOG(INDEX('測定結果'!$A:$XFD,ROW(),COLUMN()))</f>
        <v>1.14921911265538</v>
      </c>
      <c r="M20">
        <f>LOG(INDEX('測定結果'!$A:$XFD,ROW(),COLUMN()))</f>
        <v>1.110589710299249</v>
      </c>
    </row>
    <row r="21" spans="1:13" ht="13.5">
      <c r="A21">
        <f>INDEX('測定結果'!$A:$XFD,ROW(),COLUMN())</f>
        <v>11</v>
      </c>
      <c r="B21">
        <f>INDEX('測定結果'!$A:$XFD,ROW(),COLUMN())</f>
        <v>1.5586963252314814</v>
      </c>
      <c r="C21">
        <f>INDEX('測定結果'!$A:$XFD,ROW(),COLUMN())</f>
        <v>5.875119155092594</v>
      </c>
      <c r="D21">
        <f>LOG(INDEX('測定結果'!$A:$XFD,ROW(),COLUMN()))</f>
        <v>1.2430380486862944</v>
      </c>
      <c r="E21">
        <f>LOG(INDEX('測定結果'!$A:$XFD,ROW(),COLUMN()))</f>
        <v>1.2648178230095364</v>
      </c>
      <c r="F21">
        <f>LOG(INDEX('測定結果'!$A:$XFD,ROW(),COLUMN()))</f>
        <v>1.1986570869544226</v>
      </c>
      <c r="G21">
        <f>LOG(INDEX('測定結果'!$A:$XFD,ROW(),COLUMN()))</f>
        <v>1.3096301674258988</v>
      </c>
      <c r="H21">
        <f>LOG(INDEX('測定結果'!$A:$XFD,ROW(),COLUMN()))</f>
        <v>1.3031960574204888</v>
      </c>
      <c r="I21">
        <f>LOG(INDEX('測定結果'!$A:$XFD,ROW(),COLUMN()))</f>
        <v>1.1903316981702914</v>
      </c>
      <c r="J21">
        <f>LOG(INDEX('測定結果'!$A:$XFD,ROW(),COLUMN()))</f>
        <v>1.2013971243204515</v>
      </c>
      <c r="K21">
        <f>LOG(INDEX('測定結果'!$A:$XFD,ROW(),COLUMN()))</f>
        <v>1.173186268412274</v>
      </c>
      <c r="L21">
        <f>LOG(INDEX('測定結果'!$A:$XFD,ROW(),COLUMN()))</f>
        <v>1.2648178230095364</v>
      </c>
      <c r="M21">
        <f>LOG(INDEX('測定結果'!$A:$XFD,ROW(),COLUMN()))</f>
        <v>1.1522883443830565</v>
      </c>
    </row>
    <row r="22" spans="1:13" ht="13.5">
      <c r="A22">
        <f>INDEX('測定結果'!$A:$XFD,ROW(),COLUMN())</f>
        <v>12</v>
      </c>
      <c r="B22">
        <f>INDEX('測定結果'!$A:$XFD,ROW(),COLUMN())</f>
        <v>1.5586954571759257</v>
      </c>
      <c r="C22">
        <f>INDEX('測定結果'!$A:$XFD,ROW(),COLUMN())</f>
        <v>5.875119155092594</v>
      </c>
      <c r="D22">
        <f>LOG(INDEX('測定結果'!$A:$XFD,ROW(),COLUMN()))</f>
        <v>1.2576785748691846</v>
      </c>
      <c r="E22">
        <f>LOG(INDEX('測定結果'!$A:$XFD,ROW(),COLUMN()))</f>
        <v>1.276461804173244</v>
      </c>
      <c r="F22">
        <f>LOG(INDEX('測定結果'!$A:$XFD,ROW(),COLUMN()))</f>
        <v>1.2148438480476977</v>
      </c>
      <c r="G22">
        <f>LOG(INDEX('測定結果'!$A:$XFD,ROW(),COLUMN()))</f>
        <v>1.2600713879850747</v>
      </c>
      <c r="H22">
        <f>LOG(INDEX('測定結果'!$A:$XFD,ROW(),COLUMN()))</f>
        <v>1.307496037913213</v>
      </c>
      <c r="I22">
        <f>LOG(INDEX('測定結果'!$A:$XFD,ROW(),COLUMN()))</f>
        <v>1.1986570869544226</v>
      </c>
      <c r="J22">
        <f>LOG(INDEX('測定結果'!$A:$XFD,ROW(),COLUMN()))</f>
        <v>1.2148438480476977</v>
      </c>
      <c r="K22">
        <f>LOG(INDEX('測定結果'!$A:$XFD,ROW(),COLUMN()))</f>
        <v>1.173186268412274</v>
      </c>
      <c r="L22">
        <f>LOG(INDEX('測定結果'!$A:$XFD,ROW(),COLUMN()))</f>
        <v>1.110589710299249</v>
      </c>
      <c r="M22">
        <f>LOG(INDEX('測定結果'!$A:$XFD,ROW(),COLUMN()))</f>
        <v>1.1072099696478683</v>
      </c>
    </row>
    <row r="23" spans="1:13" ht="13.5">
      <c r="A23">
        <f>INDEX('測定結果'!$A:$XFD,ROW(),COLUMN())</f>
        <v>13</v>
      </c>
      <c r="B23">
        <f>INDEX('測定結果'!$A:$XFD,ROW(),COLUMN())</f>
        <v>1.5586957465277778</v>
      </c>
      <c r="C23">
        <f>INDEX('測定結果'!$A:$XFD,ROW(),COLUMN())</f>
        <v>5.875120312500001</v>
      </c>
      <c r="D23">
        <f>LOG(INDEX('測定結果'!$A:$XFD,ROW(),COLUMN()))</f>
        <v>1.252853030979893</v>
      </c>
      <c r="E23">
        <f>LOG(INDEX('測定結果'!$A:$XFD,ROW(),COLUMN()))</f>
        <v>1.2695129442179163</v>
      </c>
      <c r="F23">
        <f>LOG(INDEX('測定結果'!$A:$XFD,ROW(),COLUMN()))</f>
        <v>1.2304489213782739</v>
      </c>
      <c r="G23">
        <f>LOG(INDEX('測定結果'!$A:$XFD,ROW(),COLUMN()))</f>
        <v>1.2648178230095364</v>
      </c>
      <c r="H23">
        <f>LOG(INDEX('測定結果'!$A:$XFD,ROW(),COLUMN()))</f>
        <v>1.2201080880400552</v>
      </c>
      <c r="I23">
        <f>LOG(INDEX('測定結果'!$A:$XFD,ROW(),COLUMN()))</f>
        <v>1.1986570869544226</v>
      </c>
      <c r="J23">
        <f>LOG(INDEX('測定結果'!$A:$XFD,ROW(),COLUMN()))</f>
        <v>1.2174839442139063</v>
      </c>
      <c r="K23">
        <f>LOG(INDEX('測定結果'!$A:$XFD,ROW(),COLUMN()))</f>
        <v>1.1958996524092338</v>
      </c>
      <c r="L23">
        <f>LOG(INDEX('測定結果'!$A:$XFD,ROW(),COLUMN()))</f>
        <v>1.0969100130080565</v>
      </c>
      <c r="M23">
        <f>LOG(INDEX('測定結果'!$A:$XFD,ROW(),COLUMN()))</f>
        <v>1.0934216851622351</v>
      </c>
    </row>
    <row r="24" spans="1:13" ht="13.5">
      <c r="A24">
        <f>INDEX('測定結果'!$A:$XFD,ROW(),COLUMN())</f>
        <v>14</v>
      </c>
      <c r="B24">
        <f>INDEX('測定結果'!$A:$XFD,ROW(),COLUMN())</f>
        <v>1.5586960358796296</v>
      </c>
      <c r="C24">
        <f>INDEX('測定結果'!$A:$XFD,ROW(),COLUMN())</f>
        <v>5.875121325231482</v>
      </c>
      <c r="D24">
        <f>LOG(INDEX('測定結果'!$A:$XFD,ROW(),COLUMN()))</f>
        <v>1.2430380486862944</v>
      </c>
      <c r="E24">
        <f>LOG(INDEX('測定結果'!$A:$XFD,ROW(),COLUMN()))</f>
        <v>1.2695129442179163</v>
      </c>
      <c r="F24">
        <f>LOG(INDEX('測定結果'!$A:$XFD,ROW(),COLUMN()))</f>
        <v>1.2201080880400552</v>
      </c>
      <c r="G24">
        <f>LOG(INDEX('測定結果'!$A:$XFD,ROW(),COLUMN()))</f>
        <v>1.2405492482825997</v>
      </c>
      <c r="H24">
        <f>LOG(INDEX('測定結果'!$A:$XFD,ROW(),COLUMN()))</f>
        <v>1.1789769472931695</v>
      </c>
      <c r="I24">
        <f>LOG(INDEX('測定結果'!$A:$XFD,ROW(),COLUMN()))</f>
        <v>1.1958996524092338</v>
      </c>
      <c r="J24">
        <f>LOG(INDEX('測定結果'!$A:$XFD,ROW(),COLUMN()))</f>
        <v>1.2013971243204515</v>
      </c>
      <c r="K24">
        <f>LOG(INDEX('測定結果'!$A:$XFD,ROW(),COLUMN()))</f>
        <v>1.1818435879447726</v>
      </c>
      <c r="L24">
        <f>LOG(INDEX('測定結果'!$A:$XFD,ROW(),COLUMN()))</f>
        <v>1.0934216851622351</v>
      </c>
      <c r="M24">
        <f>LOG(INDEX('測定結果'!$A:$XFD,ROW(),COLUMN()))</f>
        <v>1.08278537031645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pane xSplit="6" ySplit="10" topLeftCell="J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P11" sqref="P11"/>
    </sheetView>
  </sheetViews>
  <sheetFormatPr defaultColWidth="9.00390625" defaultRowHeight="13.5"/>
  <cols>
    <col min="1" max="1" width="6.375" style="9" customWidth="1"/>
    <col min="2" max="2" width="4.125" style="9" customWidth="1"/>
    <col min="3" max="5" width="9.00390625" style="9" customWidth="1"/>
    <col min="6" max="6" width="18.00390625" style="9" customWidth="1"/>
    <col min="7" max="7" width="11.75390625" style="9" bestFit="1" customWidth="1"/>
    <col min="8" max="8" width="11.625" style="9" bestFit="1" customWidth="1"/>
    <col min="9" max="9" width="10.625" style="9" bestFit="1" customWidth="1"/>
    <col min="10" max="16" width="11.75390625" style="9" bestFit="1" customWidth="1"/>
    <col min="17" max="16384" width="9.00390625" style="9" customWidth="1"/>
  </cols>
  <sheetData>
    <row r="1" spans="7:16" ht="13.5">
      <c r="G1" s="9">
        <v>4</v>
      </c>
      <c r="H1" s="9">
        <f>INDEX($A:$XFD,ROW(),COLUMN()-1)+1</f>
        <v>5</v>
      </c>
      <c r="I1" s="9">
        <f aca="true" t="shared" si="0" ref="I1:P3">INDEX($A:$XFD,ROW(),COLUMN()-1)+1</f>
        <v>6</v>
      </c>
      <c r="J1" s="9">
        <f t="shared" si="0"/>
        <v>7</v>
      </c>
      <c r="K1" s="9">
        <f t="shared" si="0"/>
        <v>8</v>
      </c>
      <c r="L1" s="9">
        <f t="shared" si="0"/>
        <v>9</v>
      </c>
      <c r="M1" s="9">
        <f t="shared" si="0"/>
        <v>10</v>
      </c>
      <c r="N1" s="9">
        <f t="shared" si="0"/>
        <v>11</v>
      </c>
      <c r="O1" s="9">
        <f t="shared" si="0"/>
        <v>12</v>
      </c>
      <c r="P1" s="9">
        <f t="shared" si="0"/>
        <v>13</v>
      </c>
    </row>
    <row r="2" spans="5:16" ht="13.5">
      <c r="E2" s="9" t="s">
        <v>20</v>
      </c>
      <c r="G2" s="9" t="str">
        <f aca="true" t="shared" si="1" ref="G2:P2">IF(INT((G1-1)/26)=0,"",CHAR(INT((G1-1)/26)+64))&amp;CHAR(IF(MOD(G1,26)=0,26,MOD(G1,26))+64)</f>
        <v>D</v>
      </c>
      <c r="H2" s="9" t="str">
        <f t="shared" si="1"/>
        <v>E</v>
      </c>
      <c r="I2" s="9" t="str">
        <f t="shared" si="1"/>
        <v>F</v>
      </c>
      <c r="J2" s="9" t="str">
        <f t="shared" si="1"/>
        <v>G</v>
      </c>
      <c r="K2" s="9" t="str">
        <f t="shared" si="1"/>
        <v>H</v>
      </c>
      <c r="L2" s="9" t="str">
        <f t="shared" si="1"/>
        <v>I</v>
      </c>
      <c r="M2" s="9" t="str">
        <f t="shared" si="1"/>
        <v>J</v>
      </c>
      <c r="N2" s="9" t="str">
        <f t="shared" si="1"/>
        <v>K</v>
      </c>
      <c r="O2" s="9" t="str">
        <f t="shared" si="1"/>
        <v>L</v>
      </c>
      <c r="P2" s="9" t="str">
        <f t="shared" si="1"/>
        <v>M</v>
      </c>
    </row>
    <row r="3" spans="7:16" ht="13.5">
      <c r="G3" s="9">
        <v>4</v>
      </c>
      <c r="H3" s="9">
        <f>INDEX($A:$XFD,ROW(),COLUMN()-1)+1</f>
        <v>5</v>
      </c>
      <c r="I3" s="9">
        <f t="shared" si="0"/>
        <v>6</v>
      </c>
      <c r="J3" s="9">
        <f t="shared" si="0"/>
        <v>7</v>
      </c>
      <c r="K3" s="9">
        <f t="shared" si="0"/>
        <v>8</v>
      </c>
      <c r="L3" s="9">
        <f t="shared" si="0"/>
        <v>9</v>
      </c>
      <c r="M3" s="9">
        <f t="shared" si="0"/>
        <v>10</v>
      </c>
      <c r="N3" s="9">
        <f t="shared" si="0"/>
        <v>11</v>
      </c>
      <c r="O3" s="9">
        <f t="shared" si="0"/>
        <v>12</v>
      </c>
      <c r="P3" s="9">
        <f t="shared" si="0"/>
        <v>13</v>
      </c>
    </row>
    <row r="4" spans="5:16" ht="13.5">
      <c r="E4" s="9" t="s">
        <v>21</v>
      </c>
      <c r="G4" s="9" t="str">
        <f aca="true" t="shared" si="2" ref="G4:P4">IF(INT((G3-1)/26)=0,"",CHAR(INT((G3-1)/26)+64))&amp;CHAR(IF(MOD(G3,26)=0,26,MOD(G3,26))+64)</f>
        <v>D</v>
      </c>
      <c r="H4" s="9" t="str">
        <f t="shared" si="2"/>
        <v>E</v>
      </c>
      <c r="I4" s="9" t="str">
        <f t="shared" si="2"/>
        <v>F</v>
      </c>
      <c r="J4" s="9" t="str">
        <f t="shared" si="2"/>
        <v>G</v>
      </c>
      <c r="K4" s="9" t="str">
        <f t="shared" si="2"/>
        <v>H</v>
      </c>
      <c r="L4" s="9" t="str">
        <f t="shared" si="2"/>
        <v>I</v>
      </c>
      <c r="M4" s="9" t="str">
        <f t="shared" si="2"/>
        <v>J</v>
      </c>
      <c r="N4" s="9" t="str">
        <f t="shared" si="2"/>
        <v>K</v>
      </c>
      <c r="O4" s="9" t="str">
        <f t="shared" si="2"/>
        <v>L</v>
      </c>
      <c r="P4" s="9" t="str">
        <f t="shared" si="2"/>
        <v>M</v>
      </c>
    </row>
    <row r="6" spans="6:16" ht="13.5">
      <c r="F6" s="9" t="s">
        <v>22</v>
      </c>
      <c r="G6" s="9">
        <v>0</v>
      </c>
      <c r="H6" s="9">
        <f aca="true" t="shared" si="3" ref="H6:P6">DATEDIF(G9,H9,"D")</f>
        <v>115</v>
      </c>
      <c r="I6" s="9">
        <f t="shared" si="3"/>
        <v>113</v>
      </c>
      <c r="J6" s="9">
        <f t="shared" si="3"/>
        <v>69</v>
      </c>
      <c r="K6" s="9">
        <f t="shared" si="3"/>
        <v>134</v>
      </c>
      <c r="L6" s="9">
        <f t="shared" si="3"/>
        <v>47</v>
      </c>
      <c r="M6" s="9">
        <f t="shared" si="3"/>
        <v>120</v>
      </c>
      <c r="N6" s="9">
        <f t="shared" si="3"/>
        <v>77</v>
      </c>
      <c r="O6" s="9">
        <f t="shared" si="3"/>
        <v>63</v>
      </c>
      <c r="P6" s="9">
        <f t="shared" si="3"/>
        <v>84</v>
      </c>
    </row>
    <row r="7" spans="6:16" ht="13.5">
      <c r="F7" s="9" t="s">
        <v>23</v>
      </c>
      <c r="G7" s="9">
        <f>SUM(F6)+SUM(G6)</f>
        <v>0</v>
      </c>
      <c r="H7" s="9">
        <f aca="true" t="shared" si="4" ref="H7:P7">SUM(M7)+SUM(H6)</f>
        <v>235</v>
      </c>
      <c r="I7" s="9">
        <f t="shared" si="4"/>
        <v>190</v>
      </c>
      <c r="J7" s="9">
        <f t="shared" si="4"/>
        <v>132</v>
      </c>
      <c r="K7" s="9">
        <f t="shared" si="4"/>
        <v>218</v>
      </c>
      <c r="L7" s="9">
        <f t="shared" si="4"/>
        <v>47</v>
      </c>
      <c r="M7" s="9">
        <f t="shared" si="4"/>
        <v>120</v>
      </c>
      <c r="N7" s="9">
        <f t="shared" si="4"/>
        <v>77</v>
      </c>
      <c r="O7" s="9">
        <f t="shared" si="4"/>
        <v>63</v>
      </c>
      <c r="P7" s="9">
        <f t="shared" si="4"/>
        <v>84</v>
      </c>
    </row>
    <row r="8" spans="6:16" ht="13.5">
      <c r="F8" s="9" t="s">
        <v>24</v>
      </c>
      <c r="G8" s="9">
        <f aca="true" t="shared" si="5" ref="G8:P8">DATEDIF(DATE(2011,3,11),G9,"d")</f>
        <v>145</v>
      </c>
      <c r="H8" s="9">
        <f t="shared" si="5"/>
        <v>260</v>
      </c>
      <c r="I8" s="9">
        <f t="shared" si="5"/>
        <v>373</v>
      </c>
      <c r="J8" s="9">
        <f t="shared" si="5"/>
        <v>442</v>
      </c>
      <c r="K8" s="9">
        <f t="shared" si="5"/>
        <v>576</v>
      </c>
      <c r="L8" s="9">
        <f t="shared" si="5"/>
        <v>623</v>
      </c>
      <c r="M8" s="9">
        <f t="shared" si="5"/>
        <v>743</v>
      </c>
      <c r="N8" s="9">
        <f t="shared" si="5"/>
        <v>820</v>
      </c>
      <c r="O8" s="9">
        <f t="shared" si="5"/>
        <v>883</v>
      </c>
      <c r="P8" s="9">
        <f t="shared" si="5"/>
        <v>967</v>
      </c>
    </row>
    <row r="9" spans="6:16" ht="13.5">
      <c r="F9" s="9" t="s">
        <v>25</v>
      </c>
      <c r="G9" s="8">
        <f>INDEX('測定結果'!$A:$XFD,9,Ave_Calc!G1)</f>
        <v>40758</v>
      </c>
      <c r="H9" s="8">
        <f>INDEX('測定結果'!$A:$XFD,9,Ave_Calc!H1)</f>
        <v>40873</v>
      </c>
      <c r="I9" s="8">
        <f>INDEX('測定結果'!$A:$XFD,9,Ave_Calc!I1)</f>
        <v>40986</v>
      </c>
      <c r="J9" s="8">
        <f>INDEX('測定結果'!$A:$XFD,9,Ave_Calc!J1)</f>
        <v>41055</v>
      </c>
      <c r="K9" s="8">
        <f>INDEX('測定結果'!$A:$XFD,9,Ave_Calc!K1)</f>
        <v>41189</v>
      </c>
      <c r="L9" s="8">
        <f>INDEX('測定結果'!$A:$XFD,9,Ave_Calc!L1)</f>
        <v>41236</v>
      </c>
      <c r="M9" s="8">
        <f>INDEX('測定結果'!$A:$XFD,9,Ave_Calc!M1)</f>
        <v>41356</v>
      </c>
      <c r="N9" s="8">
        <f>INDEX('測定結果'!$A:$XFD,9,Ave_Calc!N1)</f>
        <v>41433</v>
      </c>
      <c r="O9" s="8">
        <f>INDEX('測定結果'!$A:$XFD,9,Ave_Calc!O1)</f>
        <v>41496</v>
      </c>
      <c r="P9" s="8">
        <f>INDEX('測定結果'!$A:$XFD,9,Ave_Calc!P1)</f>
        <v>41580</v>
      </c>
    </row>
    <row r="10" spans="1:16" ht="13.5">
      <c r="A10" s="9" t="s">
        <v>26</v>
      </c>
      <c r="B10" s="9" t="s">
        <v>47</v>
      </c>
      <c r="C10" s="9" t="s">
        <v>27</v>
      </c>
      <c r="D10" s="9" t="s">
        <v>28</v>
      </c>
      <c r="E10" s="9" t="s">
        <v>29</v>
      </c>
      <c r="F10" s="9" t="s">
        <v>48</v>
      </c>
      <c r="G10" s="9" t="s">
        <v>49</v>
      </c>
      <c r="H10" s="9" t="s">
        <v>49</v>
      </c>
      <c r="I10" s="9" t="s">
        <v>49</v>
      </c>
      <c r="J10" s="9" t="s">
        <v>49</v>
      </c>
      <c r="K10" s="9" t="s">
        <v>49</v>
      </c>
      <c r="L10" s="9" t="s">
        <v>49</v>
      </c>
      <c r="M10" s="9" t="s">
        <v>49</v>
      </c>
      <c r="N10" s="9" t="s">
        <v>49</v>
      </c>
      <c r="O10" s="9" t="s">
        <v>49</v>
      </c>
      <c r="P10" s="9" t="s">
        <v>49</v>
      </c>
    </row>
    <row r="11" spans="1:16" ht="13.5">
      <c r="A11" s="9">
        <v>11</v>
      </c>
      <c r="C11" s="9">
        <v>11</v>
      </c>
      <c r="D11" s="9">
        <v>24</v>
      </c>
      <c r="E11" s="9" t="s">
        <v>20</v>
      </c>
      <c r="G11" s="9" t="str">
        <f aca="true" t="shared" si="6" ref="G11:P11">$E11&amp;"!"&amp;G$2&amp;$A11&amp;":"&amp;G$2&amp;$D11</f>
        <v>測定結果!D11:D24</v>
      </c>
      <c r="H11" s="9" t="str">
        <f t="shared" si="6"/>
        <v>測定結果!E11:E24</v>
      </c>
      <c r="I11" s="9" t="str">
        <f t="shared" si="6"/>
        <v>測定結果!F11:F24</v>
      </c>
      <c r="J11" s="9" t="str">
        <f t="shared" si="6"/>
        <v>測定結果!G11:G24</v>
      </c>
      <c r="K11" s="9" t="str">
        <f t="shared" si="6"/>
        <v>測定結果!H11:H24</v>
      </c>
      <c r="L11" s="9" t="str">
        <f t="shared" si="6"/>
        <v>測定結果!I11:I24</v>
      </c>
      <c r="M11" s="9" t="str">
        <f t="shared" si="6"/>
        <v>測定結果!J11:J24</v>
      </c>
      <c r="N11" s="9" t="str">
        <f t="shared" si="6"/>
        <v>測定結果!K11:K24</v>
      </c>
      <c r="O11" s="9" t="str">
        <f t="shared" si="6"/>
        <v>測定結果!L11:L24</v>
      </c>
      <c r="P11" s="9" t="str">
        <f t="shared" si="6"/>
        <v>測定結果!M11:M24</v>
      </c>
    </row>
    <row r="12" spans="5:16" ht="13.5">
      <c r="E12" s="9" t="s">
        <v>21</v>
      </c>
      <c r="G12" s="9" t="str">
        <f aca="true" t="shared" si="7" ref="G12:P12">$E12&amp;"!"&amp;G$4&amp;$A11&amp;":"&amp;G$4&amp;$D11</f>
        <v>LOG_Calc!D11:D24</v>
      </c>
      <c r="H12" s="9" t="str">
        <f t="shared" si="7"/>
        <v>LOG_Calc!E11:E24</v>
      </c>
      <c r="I12" s="9" t="str">
        <f t="shared" si="7"/>
        <v>LOG_Calc!F11:F24</v>
      </c>
      <c r="J12" s="9" t="str">
        <f t="shared" si="7"/>
        <v>LOG_Calc!G11:G24</v>
      </c>
      <c r="K12" s="9" t="str">
        <f t="shared" si="7"/>
        <v>LOG_Calc!H11:H24</v>
      </c>
      <c r="L12" s="9" t="str">
        <f t="shared" si="7"/>
        <v>LOG_Calc!I11:I24</v>
      </c>
      <c r="M12" s="9" t="str">
        <f t="shared" si="7"/>
        <v>LOG_Calc!J11:J24</v>
      </c>
      <c r="N12" s="9" t="str">
        <f t="shared" si="7"/>
        <v>LOG_Calc!K11:K24</v>
      </c>
      <c r="O12" s="9" t="str">
        <f t="shared" si="7"/>
        <v>LOG_Calc!L11:L24</v>
      </c>
      <c r="P12" s="9" t="str">
        <f t="shared" si="7"/>
        <v>LOG_Calc!M11:M24</v>
      </c>
    </row>
    <row r="13" spans="6:16" ht="13.5">
      <c r="F13" s="9" t="s">
        <v>30</v>
      </c>
      <c r="G13" s="9">
        <f aca="true" ca="1" t="shared" si="8" ref="G13:L13">MAX(INDIRECT(G11))</f>
        <v>23</v>
      </c>
      <c r="H13" s="9">
        <f ca="1" t="shared" si="8"/>
        <v>18.9</v>
      </c>
      <c r="I13" s="9">
        <f ca="1" t="shared" si="8"/>
        <v>17</v>
      </c>
      <c r="J13" s="9">
        <f ca="1" t="shared" si="8"/>
        <v>20.4</v>
      </c>
      <c r="K13" s="9">
        <f ca="1" t="shared" si="8"/>
        <v>20.3</v>
      </c>
      <c r="L13" s="9">
        <f ca="1" t="shared" si="8"/>
        <v>16</v>
      </c>
      <c r="M13" s="9">
        <f ca="1">MAX(INDIRECT(M11))</f>
        <v>16.5</v>
      </c>
      <c r="N13" s="9">
        <f ca="1">MAX(INDIRECT(N11))</f>
        <v>17.6</v>
      </c>
      <c r="O13" s="9">
        <f ca="1">MAX(INDIRECT(O11))</f>
        <v>18.4</v>
      </c>
      <c r="P13" s="9">
        <f ca="1">MAX(INDIRECT(P11))</f>
        <v>14.2</v>
      </c>
    </row>
    <row r="14" spans="6:16" ht="13.5">
      <c r="F14" s="9" t="s">
        <v>31</v>
      </c>
      <c r="G14" s="9">
        <f aca="true" ca="1" t="shared" si="9" ref="G14:L14">MIN(INDIRECT(G11))</f>
        <v>13.7</v>
      </c>
      <c r="H14" s="9">
        <f ca="1" t="shared" si="9"/>
        <v>17.2</v>
      </c>
      <c r="I14" s="9">
        <f ca="1" t="shared" si="9"/>
        <v>13.2</v>
      </c>
      <c r="J14" s="9">
        <f ca="1" t="shared" si="9"/>
        <v>10.4</v>
      </c>
      <c r="K14" s="9">
        <f ca="1" t="shared" si="9"/>
        <v>10.4</v>
      </c>
      <c r="L14" s="9">
        <f ca="1" t="shared" si="9"/>
        <v>14.2</v>
      </c>
      <c r="M14" s="9">
        <f ca="1">MIN(INDIRECT(M11))</f>
        <v>9.4</v>
      </c>
      <c r="N14" s="9">
        <f ca="1">MIN(INDIRECT(N11))</f>
        <v>10.6</v>
      </c>
      <c r="O14" s="9">
        <f ca="1">MIN(INDIRECT(O11))</f>
        <v>11.3</v>
      </c>
      <c r="P14" s="9">
        <f ca="1">MIN(INDIRECT(P11))</f>
        <v>9.07</v>
      </c>
    </row>
    <row r="15" spans="6:16" ht="13.5">
      <c r="F15" s="9" t="s">
        <v>32</v>
      </c>
      <c r="G15" s="9">
        <f aca="true" ca="1" t="shared" si="10" ref="G15:L15">AVERAGE(INDIRECT(G11))</f>
        <v>18.37142857142857</v>
      </c>
      <c r="H15" s="9">
        <f ca="1" t="shared" si="10"/>
        <v>18.37857142857143</v>
      </c>
      <c r="I15" s="9">
        <f ca="1" t="shared" si="10"/>
        <v>15.664285714285713</v>
      </c>
      <c r="J15" s="9">
        <f ca="1" t="shared" si="10"/>
        <v>13.707142857142857</v>
      </c>
      <c r="K15" s="9">
        <f ca="1" t="shared" si="10"/>
        <v>15.392857142857142</v>
      </c>
      <c r="L15" s="9">
        <f ca="1" t="shared" si="10"/>
        <v>15.585714285714287</v>
      </c>
      <c r="M15" s="9">
        <f ca="1">AVERAGE(INDIRECT(M11))</f>
        <v>13.80714285714286</v>
      </c>
      <c r="N15" s="9">
        <f ca="1">AVERAGE(INDIRECT(N11))</f>
        <v>14.314285714285715</v>
      </c>
      <c r="O15" s="9">
        <f ca="1">AVERAGE(INDIRECT(O11))</f>
        <v>12.97857142857143</v>
      </c>
      <c r="P15" s="9">
        <f ca="1">AVERAGE(INDIRECT(P11))</f>
        <v>12.140714285714287</v>
      </c>
    </row>
    <row r="16" spans="6:16" ht="13.5">
      <c r="F16" s="9" t="s">
        <v>33</v>
      </c>
      <c r="G16" s="9">
        <f aca="true" ca="1" t="shared" si="11" ref="G16:L16">IF(G$10="有",#N/A,AVERAGE(INDIRECT(G11)))</f>
        <v>18.37142857142857</v>
      </c>
      <c r="H16" s="9">
        <f ca="1" t="shared" si="11"/>
        <v>18.37857142857143</v>
      </c>
      <c r="I16" s="9">
        <f ca="1" t="shared" si="11"/>
        <v>15.664285714285713</v>
      </c>
      <c r="J16" s="9">
        <f ca="1" t="shared" si="11"/>
        <v>13.707142857142857</v>
      </c>
      <c r="K16" s="9">
        <f ca="1" t="shared" si="11"/>
        <v>15.392857142857142</v>
      </c>
      <c r="L16" s="9">
        <f ca="1" t="shared" si="11"/>
        <v>15.585714285714287</v>
      </c>
      <c r="M16" s="9">
        <f ca="1">IF(M$10="有",#N/A,AVERAGE(INDIRECT(M11)))</f>
        <v>13.80714285714286</v>
      </c>
      <c r="N16" s="9">
        <f ca="1">IF(N$10="有",#N/A,AVERAGE(INDIRECT(N11)))</f>
        <v>14.314285714285715</v>
      </c>
      <c r="O16" s="9">
        <f ca="1">IF(O$10="有",#N/A,AVERAGE(INDIRECT(O11)))</f>
        <v>12.97857142857143</v>
      </c>
      <c r="P16" s="9">
        <f ca="1">IF(P$10="有",#N/A,AVERAGE(INDIRECT(P11)))</f>
        <v>12.140714285714287</v>
      </c>
    </row>
    <row r="17" spans="6:16" ht="13.5">
      <c r="F17" s="9" t="s">
        <v>34</v>
      </c>
      <c r="G17" s="9">
        <f aca="true" ca="1" t="shared" si="12" ref="G17:L17">STDEV(INDIRECT(G11))</f>
        <v>2.7675116764199776</v>
      </c>
      <c r="H17" s="9">
        <f ca="1" t="shared" si="12"/>
        <v>0.49796288312180315</v>
      </c>
      <c r="I17" s="9">
        <f ca="1" t="shared" si="12"/>
        <v>1.167908810229225</v>
      </c>
      <c r="J17" s="9">
        <f ca="1" t="shared" si="12"/>
        <v>3.3250712625594696</v>
      </c>
      <c r="K17" s="9">
        <f ca="1" t="shared" si="12"/>
        <v>3.4349928419395352</v>
      </c>
      <c r="L17" s="9">
        <f ca="1" t="shared" si="12"/>
        <v>0.5735947951393123</v>
      </c>
      <c r="M17" s="9">
        <f ca="1">STDEV(INDIRECT(M11))</f>
        <v>2.2420678249928154</v>
      </c>
      <c r="N17" s="9">
        <f ca="1">STDEV(INDIRECT(N11))</f>
        <v>1.7531760817517308</v>
      </c>
      <c r="O17" s="9">
        <f ca="1">STDEV(INDIRECT(O11))</f>
        <v>1.8684335567645762</v>
      </c>
      <c r="P17" s="9">
        <f ca="1">STDEV(INDIRECT(P11))</f>
        <v>1.317272615238444</v>
      </c>
    </row>
    <row r="18" spans="6:16" ht="13.5">
      <c r="F18" s="9" t="s">
        <v>35</v>
      </c>
      <c r="G18" s="9">
        <f aca="true" ca="1" t="shared" si="13" ref="G18:L18">MAX(INDIRECT(G12))</f>
        <v>1.3617278360175928</v>
      </c>
      <c r="H18" s="9">
        <f ca="1" t="shared" si="13"/>
        <v>1.276461804173244</v>
      </c>
      <c r="I18" s="9">
        <f ca="1" t="shared" si="13"/>
        <v>1.2304489213782739</v>
      </c>
      <c r="J18" s="9">
        <f ca="1" t="shared" si="13"/>
        <v>1.3096301674258988</v>
      </c>
      <c r="K18" s="9">
        <f ca="1" t="shared" si="13"/>
        <v>1.307496037913213</v>
      </c>
      <c r="L18" s="9">
        <f ca="1" t="shared" si="13"/>
        <v>1.2041199826559248</v>
      </c>
      <c r="M18" s="9">
        <f ca="1">MAX(INDIRECT(M12))</f>
        <v>1.2174839442139063</v>
      </c>
      <c r="N18" s="9">
        <f ca="1">MAX(INDIRECT(N12))</f>
        <v>1.24551266781415</v>
      </c>
      <c r="O18" s="9">
        <f ca="1">MAX(INDIRECT(O12))</f>
        <v>1.2648178230095364</v>
      </c>
      <c r="P18" s="9">
        <f ca="1">MAX(INDIRECT(P12))</f>
        <v>1.1522883443830565</v>
      </c>
    </row>
    <row r="19" spans="6:16" ht="13.5">
      <c r="F19" s="9" t="s">
        <v>36</v>
      </c>
      <c r="G19" s="9">
        <f aca="true" ca="1" t="shared" si="14" ref="G19:L19">MIN(INDIRECT(G12))</f>
        <v>1.1367205671564067</v>
      </c>
      <c r="H19" s="9">
        <f ca="1" t="shared" si="14"/>
        <v>1.235528446907549</v>
      </c>
      <c r="I19" s="9">
        <f ca="1" t="shared" si="14"/>
        <v>1.1205739312058498</v>
      </c>
      <c r="J19" s="9">
        <f ca="1" t="shared" si="14"/>
        <v>1.0170333392987803</v>
      </c>
      <c r="K19" s="9">
        <f ca="1" t="shared" si="14"/>
        <v>1.0170333392987803</v>
      </c>
      <c r="L19" s="9">
        <f ca="1" t="shared" si="14"/>
        <v>1.1522883443830565</v>
      </c>
      <c r="M19" s="9">
        <f ca="1">MIN(INDIRECT(M12))</f>
        <v>0.9731278535996987</v>
      </c>
      <c r="N19" s="9">
        <f ca="1">MIN(INDIRECT(N12))</f>
        <v>1.0253058652647702</v>
      </c>
      <c r="O19" s="9">
        <f ca="1">MIN(INDIRECT(O12))</f>
        <v>1.0530784434834197</v>
      </c>
      <c r="P19" s="9">
        <f ca="1">MIN(INDIRECT(P12))</f>
        <v>0.9576072870600952</v>
      </c>
    </row>
    <row r="20" spans="6:16" ht="13.5">
      <c r="F20" s="9" t="s">
        <v>37</v>
      </c>
      <c r="G20" s="9">
        <f aca="true" ca="1" t="shared" si="15" ref="G20:L20">AVERAGE(INDIRECT(G12))</f>
        <v>1.2594478720914102</v>
      </c>
      <c r="H20" s="9">
        <f ca="1" t="shared" si="15"/>
        <v>1.2641606028679384</v>
      </c>
      <c r="I20" s="9">
        <f ca="1" t="shared" si="15"/>
        <v>1.1937108212438337</v>
      </c>
      <c r="J20" s="9">
        <f ca="1" t="shared" si="15"/>
        <v>1.126257859382997</v>
      </c>
      <c r="K20" s="9">
        <f ca="1" t="shared" si="15"/>
        <v>1.1767951692190657</v>
      </c>
      <c r="L20" s="9">
        <f ca="1" t="shared" si="15"/>
        <v>1.1924435178521835</v>
      </c>
      <c r="M20" s="9">
        <f ca="1">AVERAGE(INDIRECT(M12))</f>
        <v>1.134495898667941</v>
      </c>
      <c r="N20" s="9">
        <f ca="1">AVERAGE(INDIRECT(N12))</f>
        <v>1.1526719327717612</v>
      </c>
      <c r="O20" s="9">
        <f ca="1">AVERAGE(INDIRECT(O12))</f>
        <v>1.1096245583125683</v>
      </c>
      <c r="P20" s="9">
        <f ca="1">AVERAGE(INDIRECT(P12))</f>
        <v>1.0816779380262818</v>
      </c>
    </row>
    <row r="21" spans="6:16" ht="13.5">
      <c r="F21" s="9" t="s">
        <v>38</v>
      </c>
      <c r="G21" s="9">
        <f aca="true" ca="1" t="shared" si="16" ref="G21:L21">IF(G$10="有","",AVERAGE(INDIRECT(G12)))</f>
        <v>1.2594478720914102</v>
      </c>
      <c r="H21" s="9">
        <f ca="1" t="shared" si="16"/>
        <v>1.2641606028679384</v>
      </c>
      <c r="I21" s="9">
        <f ca="1" t="shared" si="16"/>
        <v>1.1937108212438337</v>
      </c>
      <c r="J21" s="9">
        <f ca="1" t="shared" si="16"/>
        <v>1.126257859382997</v>
      </c>
      <c r="K21" s="9">
        <f ca="1" t="shared" si="16"/>
        <v>1.1767951692190657</v>
      </c>
      <c r="L21" s="9">
        <f ca="1" t="shared" si="16"/>
        <v>1.1924435178521835</v>
      </c>
      <c r="M21" s="9">
        <f ca="1">IF(M$10="有","",AVERAGE(INDIRECT(M12)))</f>
        <v>1.134495898667941</v>
      </c>
      <c r="N21" s="9">
        <f ca="1">IF(N$10="有","",AVERAGE(INDIRECT(N12)))</f>
        <v>1.1526719327717612</v>
      </c>
      <c r="O21" s="9">
        <f ca="1">IF(O$10="有","",AVERAGE(INDIRECT(O12)))</f>
        <v>1.1096245583125683</v>
      </c>
      <c r="P21" s="9">
        <f ca="1">IF(P$10="有","",AVERAGE(INDIRECT(P12)))</f>
        <v>1.0816779380262818</v>
      </c>
    </row>
    <row r="22" spans="6:16" ht="13.5">
      <c r="F22" s="9" t="s">
        <v>39</v>
      </c>
      <c r="G22" s="9">
        <f aca="true" ca="1" t="shared" si="17" ref="G22:L22">STDEV(INDIRECT(G12))</f>
        <v>0.06678637616820364</v>
      </c>
      <c r="H22" s="9">
        <f ca="1" t="shared" si="17"/>
        <v>0.011953032436718178</v>
      </c>
      <c r="I22" s="9">
        <f ca="1" t="shared" si="17"/>
        <v>0.03408175505934137</v>
      </c>
      <c r="J22" s="9">
        <f ca="1" t="shared" si="17"/>
        <v>0.09736303097409052</v>
      </c>
      <c r="K22" s="9">
        <f ca="1" t="shared" si="17"/>
        <v>0.10047706044488658</v>
      </c>
      <c r="L22" s="9">
        <f ca="1" t="shared" si="17"/>
        <v>0.016424285606117674</v>
      </c>
      <c r="M22" s="9">
        <f ca="1">STDEV(INDIRECT(M12))</f>
        <v>0.07350717841444727</v>
      </c>
      <c r="N22" s="9">
        <f ca="1">STDEV(INDIRECT(N12))</f>
        <v>0.054274133868135385</v>
      </c>
      <c r="O22" s="9">
        <f ca="1">STDEV(INDIRECT(O12))</f>
        <v>0.05598297812775023</v>
      </c>
      <c r="P22" s="9">
        <f ca="1">STDEV(INDIRECT(P12))</f>
        <v>0.05002347821140769</v>
      </c>
    </row>
    <row r="23" spans="6:16" ht="13.5">
      <c r="F23" s="9" t="s">
        <v>40</v>
      </c>
      <c r="G23" s="9">
        <f aca="true" t="shared" si="18" ref="G23:L23">10^G20</f>
        <v>18.17388903730243</v>
      </c>
      <c r="H23" s="9">
        <f t="shared" si="18"/>
        <v>18.372176240695335</v>
      </c>
      <c r="I23" s="9">
        <f t="shared" si="18"/>
        <v>15.621071536421763</v>
      </c>
      <c r="J23" s="9">
        <f t="shared" si="18"/>
        <v>13.373893466495666</v>
      </c>
      <c r="K23" s="9">
        <f t="shared" si="18"/>
        <v>15.024331909146436</v>
      </c>
      <c r="L23" s="9">
        <f t="shared" si="18"/>
        <v>15.575554538594202</v>
      </c>
      <c r="M23" s="9">
        <f>10^M20</f>
        <v>13.630001344289392</v>
      </c>
      <c r="N23" s="9">
        <f>10^N20</f>
        <v>14.212547618154803</v>
      </c>
      <c r="O23" s="9">
        <f>10^O20</f>
        <v>12.871363586731345</v>
      </c>
      <c r="P23" s="9">
        <f>10^P20</f>
        <v>12.069184824682306</v>
      </c>
    </row>
    <row r="24" spans="6:16" ht="13.5">
      <c r="F24" s="9" t="s">
        <v>41</v>
      </c>
      <c r="G24" s="9">
        <f aca="true" t="shared" si="19" ref="G24:L24">10^G22</f>
        <v>1.1662358196531384</v>
      </c>
      <c r="H24" s="9">
        <f t="shared" si="19"/>
        <v>1.0279051274535915</v>
      </c>
      <c r="I24" s="9">
        <f t="shared" si="19"/>
        <v>1.0816375482185177</v>
      </c>
      <c r="J24" s="9">
        <f t="shared" si="19"/>
        <v>1.251304570808024</v>
      </c>
      <c r="K24" s="9">
        <f t="shared" si="19"/>
        <v>1.260309066261477</v>
      </c>
      <c r="L24" s="9">
        <f t="shared" si="19"/>
        <v>1.0385425283448029</v>
      </c>
      <c r="M24" s="9">
        <f>10^M22</f>
        <v>1.184423944072261</v>
      </c>
      <c r="N24" s="9">
        <f>10^N22</f>
        <v>1.1331153787364747</v>
      </c>
      <c r="O24" s="9">
        <f>10^O22</f>
        <v>1.137582698181522</v>
      </c>
      <c r="P24" s="9">
        <f>10^P22</f>
        <v>1.122079112909527</v>
      </c>
    </row>
    <row r="25" spans="6:16" ht="13.5">
      <c r="F25" s="9" t="s">
        <v>42</v>
      </c>
      <c r="G25" s="9">
        <f aca="true" t="shared" si="20" ref="G25:L25">IF(ISERROR(G21),"",G23)</f>
        <v>18.17388903730243</v>
      </c>
      <c r="H25" s="9">
        <f t="shared" si="20"/>
        <v>18.372176240695335</v>
      </c>
      <c r="I25" s="9">
        <f t="shared" si="20"/>
        <v>15.621071536421763</v>
      </c>
      <c r="J25" s="9">
        <f t="shared" si="20"/>
        <v>13.373893466495666</v>
      </c>
      <c r="K25" s="9">
        <f t="shared" si="20"/>
        <v>15.024331909146436</v>
      </c>
      <c r="L25" s="9">
        <f t="shared" si="20"/>
        <v>15.575554538594202</v>
      </c>
      <c r="M25" s="9">
        <f>IF(ISERROR(M21),"",M23)</f>
        <v>13.630001344289392</v>
      </c>
      <c r="N25" s="9">
        <f>IF(ISERROR(N21),"",N23)</f>
        <v>14.212547618154803</v>
      </c>
      <c r="O25" s="9">
        <f>IF(ISERROR(O21),"",O23)</f>
        <v>12.871363586731345</v>
      </c>
      <c r="P25" s="9">
        <f>IF(ISERROR(P21),"",P23)</f>
        <v>12.069184824682306</v>
      </c>
    </row>
    <row r="26" spans="3:9" ht="13.5">
      <c r="C26" s="9" t="s">
        <v>43</v>
      </c>
      <c r="D26" s="9" t="s">
        <v>44</v>
      </c>
      <c r="E26" s="9" t="s">
        <v>45</v>
      </c>
      <c r="F26" s="9" t="s">
        <v>46</v>
      </c>
      <c r="G26" s="9">
        <f>SLOPE($G21:$IV21,$G$8:$IV$8)</f>
        <v>-0.00018995921529682804</v>
      </c>
      <c r="H26" s="9">
        <f>INTERCEPT($G21:$IV21,$G$8:$IV$8)</f>
        <v>1.2799128314047081</v>
      </c>
      <c r="I26" s="9">
        <f>RSQ($G21:$IV21,$G$8:$IV$8)</f>
        <v>0.7471329115390063</v>
      </c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2"/>
  <sheetViews>
    <sheetView workbookViewId="0" topLeftCell="A1">
      <pane xSplit="5" ySplit="10" topLeftCell="F139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F160" sqref="F160"/>
    </sheetView>
  </sheetViews>
  <sheetFormatPr defaultColWidth="9.00390625" defaultRowHeight="13.5"/>
  <cols>
    <col min="1" max="2" width="4.625" style="5" customWidth="1"/>
    <col min="3" max="16384" width="9.00390625" style="5" customWidth="1"/>
  </cols>
  <sheetData>
    <row r="1" spans="3:8" ht="12.75">
      <c r="C1" s="10" t="s">
        <v>50</v>
      </c>
      <c r="D1" s="5">
        <v>7</v>
      </c>
      <c r="F1" s="5">
        <v>7</v>
      </c>
      <c r="G1" s="5">
        <v>4</v>
      </c>
      <c r="H1" s="5">
        <v>7</v>
      </c>
    </row>
    <row r="2" spans="3:8" ht="12.75">
      <c r="C2" s="10" t="s">
        <v>51</v>
      </c>
      <c r="F2" s="5">
        <v>10</v>
      </c>
      <c r="G2" s="5">
        <v>5</v>
      </c>
      <c r="H2" s="5">
        <f>F2</f>
        <v>10</v>
      </c>
    </row>
    <row r="3" spans="6:8" ht="12.75">
      <c r="F3" s="5">
        <v>10</v>
      </c>
      <c r="G3" s="5">
        <v>6</v>
      </c>
      <c r="H3" s="5">
        <f>H2+16</f>
        <v>26</v>
      </c>
    </row>
    <row r="4" spans="4:8" ht="13.5">
      <c r="D4" s="11" t="s">
        <v>52</v>
      </c>
      <c r="E4" s="11"/>
      <c r="F4" s="11"/>
      <c r="G4" s="5">
        <v>7</v>
      </c>
      <c r="H4" s="5">
        <f>INDEX(Ave_Calc!$A:$XFD,H$3,H$1)</f>
        <v>-0.00018995921529682804</v>
      </c>
    </row>
    <row r="5" spans="4:8" ht="13.5">
      <c r="D5" s="11" t="s">
        <v>53</v>
      </c>
      <c r="E5" s="11"/>
      <c r="F5" s="11"/>
      <c r="H5" s="5">
        <f>INDEX(Ave_Calc!$A:$XFD,H$3,H$1+1)</f>
        <v>1.2799128314047081</v>
      </c>
    </row>
    <row r="6" spans="4:8" ht="14.25">
      <c r="D6" s="12" t="s">
        <v>54</v>
      </c>
      <c r="E6" s="12"/>
      <c r="F6" s="12"/>
      <c r="H6" s="5">
        <f>INDEX(Ave_Calc!$A:$XFD,H$3,H$1+2)</f>
        <v>0.7471329115390063</v>
      </c>
    </row>
    <row r="7" spans="6:15" ht="12.75">
      <c r="F7" s="5" t="str">
        <f>F8&amp;"_"&amp;F9</f>
        <v>周辺_1m</v>
      </c>
      <c r="G7" s="5" t="str">
        <f>G8&amp;"_"&amp;G9</f>
        <v>周辺_1m</v>
      </c>
      <c r="H7" s="5" t="str">
        <f>H8&amp;"_"&amp;H9&amp;"近似直線"</f>
        <v>周辺_1m近似直線</v>
      </c>
      <c r="L7" s="5" t="str">
        <f>L9&amp;"事故前BG"</f>
        <v>0.05事故前BG</v>
      </c>
      <c r="M7" s="5" t="s">
        <v>77</v>
      </c>
      <c r="N7" s="5" t="s">
        <v>72</v>
      </c>
      <c r="O7" s="5" t="s">
        <v>80</v>
      </c>
    </row>
    <row r="8" spans="6:15" ht="12.75">
      <c r="F8" s="6" t="s">
        <v>62</v>
      </c>
      <c r="G8" s="6" t="s">
        <v>62</v>
      </c>
      <c r="H8" s="6" t="s">
        <v>62</v>
      </c>
      <c r="N8" s="37">
        <v>11019</v>
      </c>
      <c r="O8" s="51">
        <v>8.0207</v>
      </c>
    </row>
    <row r="9" spans="6:16" ht="12.75">
      <c r="F9" s="5" t="s">
        <v>61</v>
      </c>
      <c r="G9" s="5" t="s">
        <v>61</v>
      </c>
      <c r="H9" s="5" t="s">
        <v>61</v>
      </c>
      <c r="I9" s="6" t="s">
        <v>55</v>
      </c>
      <c r="J9" s="6" t="s">
        <v>56</v>
      </c>
      <c r="K9" s="6" t="s">
        <v>57</v>
      </c>
      <c r="L9" s="14">
        <v>0.05</v>
      </c>
      <c r="N9" s="5">
        <v>10</v>
      </c>
      <c r="O9" s="5">
        <v>11930</v>
      </c>
      <c r="P9" s="5" t="s">
        <v>110</v>
      </c>
    </row>
    <row r="10" spans="3:15" ht="12.75">
      <c r="C10" s="6" t="s">
        <v>58</v>
      </c>
      <c r="D10" s="6" t="s">
        <v>59</v>
      </c>
      <c r="E10" s="6" t="s">
        <v>71</v>
      </c>
      <c r="F10" s="5" t="s">
        <v>60</v>
      </c>
      <c r="G10" s="5" t="s">
        <v>70</v>
      </c>
      <c r="N10" s="5">
        <f>LOG(N9)</f>
        <v>1</v>
      </c>
      <c r="O10" s="5">
        <f>LOG(O9)</f>
        <v>4.076640443670342</v>
      </c>
    </row>
    <row r="11" spans="1:8" ht="12.75">
      <c r="A11" s="5">
        <v>1</v>
      </c>
      <c r="B11" s="5">
        <v>11</v>
      </c>
      <c r="C11" s="5">
        <v>9</v>
      </c>
      <c r="D11" s="13">
        <f>INDEX(Ave_Calc!$A:$XFD,$C11,D$1+($A11-1))</f>
        <v>40758</v>
      </c>
      <c r="E11" s="36">
        <f>DATEDIF(DATE(2011,3,11),D11,"d")</f>
        <v>145</v>
      </c>
      <c r="F11" s="14">
        <f>IF(INDEX(Ave_Calc!$A:$XFD,F$2+F$3,F$1+($A11-1))="",#N/A,INDEX(Ave_Calc!$A:$XFD,F$2+F$3,F$1+($A11-1)))</f>
        <v>1.2594478720914102</v>
      </c>
      <c r="G11" s="14">
        <f>IF(INDEX(LOG_Calc!$A:$XFD,$B11,G$1+($A11-1))="",#N/A,INDEX(LOG_Calc!$A:$XFD,$B11,G$1+($A11-1)))</f>
        <v>1.1367205671564067</v>
      </c>
      <c r="H11" s="14"/>
    </row>
    <row r="12" spans="1:8" ht="12.75">
      <c r="A12" s="5">
        <f>A11</f>
        <v>1</v>
      </c>
      <c r="B12" s="5">
        <f>B11+1</f>
        <v>12</v>
      </c>
      <c r="D12" s="13">
        <f>D11</f>
        <v>40758</v>
      </c>
      <c r="E12" s="36">
        <f aca="true" t="shared" si="0" ref="E12:E75">DATEDIF(DATE(2011,3,11),D12,"d")</f>
        <v>145</v>
      </c>
      <c r="F12" s="14"/>
      <c r="G12" s="14">
        <f>IF(INDEX(LOG_Calc!$A:$XFD,$B12,G$1+($A12-1))="",#N/A,INDEX(LOG_Calc!$A:$XFD,$B12,G$1+($A12-1)))</f>
        <v>1.1613680022349748</v>
      </c>
      <c r="H12" s="14"/>
    </row>
    <row r="13" spans="1:8" ht="12.75">
      <c r="A13" s="5">
        <f aca="true" t="shared" si="1" ref="A13:A24">A12</f>
        <v>1</v>
      </c>
      <c r="B13" s="5">
        <f aca="true" t="shared" si="2" ref="B13:B24">B12+1</f>
        <v>13</v>
      </c>
      <c r="D13" s="13">
        <f aca="true" t="shared" si="3" ref="D13:D24">D12</f>
        <v>40758</v>
      </c>
      <c r="E13" s="36">
        <f t="shared" si="0"/>
        <v>145</v>
      </c>
      <c r="F13" s="14"/>
      <c r="G13" s="14">
        <f>IF(INDEX(LOG_Calc!$A:$XFD,$B13,G$1+($A13-1))="",#N/A,INDEX(LOG_Calc!$A:$XFD,$B13,G$1+($A13-1)))</f>
        <v>1.24551266781415</v>
      </c>
      <c r="H13" s="14"/>
    </row>
    <row r="14" spans="1:8" ht="12.75">
      <c r="A14" s="5">
        <f t="shared" si="1"/>
        <v>1</v>
      </c>
      <c r="B14" s="5">
        <f t="shared" si="2"/>
        <v>14</v>
      </c>
      <c r="D14" s="13">
        <f t="shared" si="3"/>
        <v>40758</v>
      </c>
      <c r="E14" s="36">
        <f t="shared" si="0"/>
        <v>145</v>
      </c>
      <c r="F14" s="14"/>
      <c r="G14" s="14">
        <f>IF(INDEX(LOG_Calc!$A:$XFD,$B14,G$1+($A14-1))="",#N/A,INDEX(LOG_Calc!$A:$XFD,$B14,G$1+($A14-1)))</f>
        <v>1.2671717284030137</v>
      </c>
      <c r="H14" s="14"/>
    </row>
    <row r="15" spans="1:8" ht="12.75">
      <c r="A15" s="5">
        <f t="shared" si="1"/>
        <v>1</v>
      </c>
      <c r="B15" s="5">
        <f t="shared" si="2"/>
        <v>15</v>
      </c>
      <c r="D15" s="13">
        <f t="shared" si="3"/>
        <v>40758</v>
      </c>
      <c r="E15" s="36">
        <f t="shared" si="0"/>
        <v>145</v>
      </c>
      <c r="F15" s="14"/>
      <c r="G15" s="14">
        <f>IF(INDEX(LOG_Calc!$A:$XFD,$B15,G$1+($A15-1))="",#N/A,INDEX(LOG_Calc!$A:$XFD,$B15,G$1+($A15-1)))</f>
        <v>1.3031960574204888</v>
      </c>
      <c r="H15" s="14"/>
    </row>
    <row r="16" spans="1:8" ht="12.75">
      <c r="A16" s="5">
        <f t="shared" si="1"/>
        <v>1</v>
      </c>
      <c r="B16" s="5">
        <f t="shared" si="2"/>
        <v>16</v>
      </c>
      <c r="D16" s="13">
        <f t="shared" si="3"/>
        <v>40758</v>
      </c>
      <c r="E16" s="36">
        <f t="shared" si="0"/>
        <v>145</v>
      </c>
      <c r="F16" s="14"/>
      <c r="G16" s="14">
        <f>IF(INDEX(LOG_Calc!$A:$XFD,$B16,G$1+($A16-1))="",#N/A,INDEX(LOG_Calc!$A:$XFD,$B16,G$1+($A16-1)))</f>
        <v>1.3117538610557542</v>
      </c>
      <c r="H16" s="14"/>
    </row>
    <row r="17" spans="1:8" ht="12.75">
      <c r="A17" s="5">
        <f t="shared" si="1"/>
        <v>1</v>
      </c>
      <c r="B17" s="5">
        <f t="shared" si="2"/>
        <v>17</v>
      </c>
      <c r="D17" s="13">
        <f t="shared" si="3"/>
        <v>40758</v>
      </c>
      <c r="E17" s="36">
        <f t="shared" si="0"/>
        <v>145</v>
      </c>
      <c r="F17" s="14"/>
      <c r="G17" s="14">
        <f>IF(INDEX(LOG_Calc!$A:$XFD,$B17,G$1+($A17-1))="",#N/A,INDEX(LOG_Calc!$A:$XFD,$B17,G$1+($A17-1)))</f>
        <v>1.3180633349627615</v>
      </c>
      <c r="H17" s="14"/>
    </row>
    <row r="18" spans="1:8" ht="12.75">
      <c r="A18" s="5">
        <f t="shared" si="1"/>
        <v>1</v>
      </c>
      <c r="B18" s="5">
        <f t="shared" si="2"/>
        <v>18</v>
      </c>
      <c r="D18" s="13">
        <f t="shared" si="3"/>
        <v>40758</v>
      </c>
      <c r="E18" s="36">
        <f t="shared" si="0"/>
        <v>145</v>
      </c>
      <c r="F18" s="14"/>
      <c r="G18" s="14">
        <f>IF(INDEX(LOG_Calc!$A:$XFD,$B18,G$1+($A18-1))="",#N/A,INDEX(LOG_Calc!$A:$XFD,$B18,G$1+($A18-1)))</f>
        <v>1.3483048630481607</v>
      </c>
      <c r="H18" s="14"/>
    </row>
    <row r="19" spans="1:8" ht="12.75">
      <c r="A19" s="5">
        <f t="shared" si="1"/>
        <v>1</v>
      </c>
      <c r="B19" s="5">
        <f t="shared" si="2"/>
        <v>19</v>
      </c>
      <c r="D19" s="13">
        <f t="shared" si="3"/>
        <v>40758</v>
      </c>
      <c r="E19" s="36">
        <f t="shared" si="0"/>
        <v>145</v>
      </c>
      <c r="F19" s="14"/>
      <c r="G19" s="14">
        <f>IF(INDEX(LOG_Calc!$A:$XFD,$B19,G$1+($A19-1))="",#N/A,INDEX(LOG_Calc!$A:$XFD,$B19,G$1+($A19-1)))</f>
        <v>1.3617278360175928</v>
      </c>
      <c r="H19" s="14"/>
    </row>
    <row r="20" spans="1:8" ht="12.75">
      <c r="A20" s="5">
        <f t="shared" si="1"/>
        <v>1</v>
      </c>
      <c r="B20" s="5">
        <f t="shared" si="2"/>
        <v>20</v>
      </c>
      <c r="D20" s="13">
        <f t="shared" si="3"/>
        <v>40758</v>
      </c>
      <c r="E20" s="36">
        <f t="shared" si="0"/>
        <v>145</v>
      </c>
      <c r="F20" s="14"/>
      <c r="G20" s="14">
        <f>IF(INDEX(LOG_Calc!$A:$XFD,$B20,G$1+($A20-1))="",#N/A,INDEX(LOG_Calc!$A:$XFD,$B20,G$1+($A20-1)))</f>
        <v>1.1818435879447726</v>
      </c>
      <c r="H20" s="14"/>
    </row>
    <row r="21" spans="1:8" ht="12.75">
      <c r="A21" s="5">
        <f t="shared" si="1"/>
        <v>1</v>
      </c>
      <c r="B21" s="5">
        <f t="shared" si="2"/>
        <v>21</v>
      </c>
      <c r="D21" s="13">
        <f t="shared" si="3"/>
        <v>40758</v>
      </c>
      <c r="E21" s="36">
        <f t="shared" si="0"/>
        <v>145</v>
      </c>
      <c r="F21" s="14"/>
      <c r="G21" s="14">
        <f>IF(INDEX(LOG_Calc!$A:$XFD,$B21,G$1+($A21-1))="",#N/A,INDEX(LOG_Calc!$A:$XFD,$B21,G$1+($A21-1)))</f>
        <v>1.2430380486862944</v>
      </c>
      <c r="H21" s="14"/>
    </row>
    <row r="22" spans="1:8" ht="12.75">
      <c r="A22" s="5">
        <f t="shared" si="1"/>
        <v>1</v>
      </c>
      <c r="B22" s="5">
        <f t="shared" si="2"/>
        <v>22</v>
      </c>
      <c r="D22" s="13">
        <f t="shared" si="3"/>
        <v>40758</v>
      </c>
      <c r="E22" s="36">
        <f t="shared" si="0"/>
        <v>145</v>
      </c>
      <c r="F22" s="14"/>
      <c r="G22" s="14">
        <f>IF(INDEX(LOG_Calc!$A:$XFD,$B22,G$1+($A22-1))="",#N/A,INDEX(LOG_Calc!$A:$XFD,$B22,G$1+($A22-1)))</f>
        <v>1.2576785748691846</v>
      </c>
      <c r="H22" s="14"/>
    </row>
    <row r="23" spans="1:8" ht="12.75">
      <c r="A23" s="5">
        <f t="shared" si="1"/>
        <v>1</v>
      </c>
      <c r="B23" s="5">
        <f t="shared" si="2"/>
        <v>23</v>
      </c>
      <c r="D23" s="13">
        <f t="shared" si="3"/>
        <v>40758</v>
      </c>
      <c r="E23" s="36">
        <f t="shared" si="0"/>
        <v>145</v>
      </c>
      <c r="F23" s="14"/>
      <c r="G23" s="14">
        <f>IF(INDEX(LOG_Calc!$A:$XFD,$B23,G$1+($A23-1))="",#N/A,INDEX(LOG_Calc!$A:$XFD,$B23,G$1+($A23-1)))</f>
        <v>1.252853030979893</v>
      </c>
      <c r="H23" s="14"/>
    </row>
    <row r="24" spans="1:8" ht="12.75">
      <c r="A24" s="5">
        <f t="shared" si="1"/>
        <v>1</v>
      </c>
      <c r="B24" s="5">
        <f t="shared" si="2"/>
        <v>24</v>
      </c>
      <c r="D24" s="13">
        <f t="shared" si="3"/>
        <v>40758</v>
      </c>
      <c r="E24" s="36">
        <f t="shared" si="0"/>
        <v>145</v>
      </c>
      <c r="F24" s="14"/>
      <c r="G24" s="14">
        <f>IF(INDEX(LOG_Calc!$A:$XFD,$B24,G$1+($A24-1))="",#N/A,INDEX(LOG_Calc!$A:$XFD,$B24,G$1+($A24-1)))</f>
        <v>1.2430380486862944</v>
      </c>
      <c r="H24" s="14"/>
    </row>
    <row r="25" spans="4:8" ht="12.75">
      <c r="F25" s="14"/>
      <c r="G25" s="14"/>
      <c r="H25" s="14"/>
    </row>
    <row r="26" spans="1:8" ht="12.75">
      <c r="A26" s="5">
        <f>A11+1</f>
        <v>2</v>
      </c>
      <c r="B26" s="5">
        <v>11</v>
      </c>
      <c r="C26" s="5">
        <f>C11</f>
        <v>9</v>
      </c>
      <c r="D26" s="13">
        <f>INDEX(Ave_Calc!$A:$XFD,$C26,D$1+($A26-1))</f>
        <v>40873</v>
      </c>
      <c r="E26" s="36">
        <f t="shared" si="0"/>
        <v>260</v>
      </c>
      <c r="F26" s="14">
        <f>IF(INDEX(Ave_Calc!$A:$XFD,F$2+F$3,F$1+($A26-1))="",#N/A,INDEX(Ave_Calc!$A:$XFD,F$2+F$3,F$1+($A26-1)))</f>
        <v>1.2641606028679384</v>
      </c>
      <c r="G26" s="14">
        <f>IF(INDEX(LOG_Calc!$A:$XFD,$B26,G$1+($A26-1))="",#N/A,INDEX(LOG_Calc!$A:$XFD,$B26,G$1+($A26-1)))</f>
        <v>1.235528446907549</v>
      </c>
      <c r="H26" s="14"/>
    </row>
    <row r="27" spans="1:8" ht="12.75">
      <c r="A27" s="5">
        <f>A26</f>
        <v>2</v>
      </c>
      <c r="B27" s="5">
        <f>B26+1</f>
        <v>12</v>
      </c>
      <c r="D27" s="13">
        <f>D26</f>
        <v>40873</v>
      </c>
      <c r="E27" s="36">
        <f t="shared" si="0"/>
        <v>260</v>
      </c>
      <c r="F27" s="14"/>
      <c r="G27" s="14">
        <f>IF(INDEX(LOG_Calc!$A:$XFD,$B27,G$1+($A27-1))="",#N/A,INDEX(LOG_Calc!$A:$XFD,$B27,G$1+($A27-1)))</f>
        <v>1.250420002308894</v>
      </c>
      <c r="H27" s="14"/>
    </row>
    <row r="28" spans="1:8" ht="12.75">
      <c r="A28" s="5">
        <f aca="true" t="shared" si="4" ref="A28:A39">A27</f>
        <v>2</v>
      </c>
      <c r="B28" s="5">
        <f aca="true" t="shared" si="5" ref="B28:B39">B27+1</f>
        <v>13</v>
      </c>
      <c r="D28" s="13">
        <f aca="true" t="shared" si="6" ref="D28:D39">D27</f>
        <v>40873</v>
      </c>
      <c r="E28" s="36">
        <f t="shared" si="0"/>
        <v>260</v>
      </c>
      <c r="F28" s="14"/>
      <c r="G28" s="14">
        <f>IF(INDEX(LOG_Calc!$A:$XFD,$B28,G$1+($A28-1))="",#N/A,INDEX(LOG_Calc!$A:$XFD,$B28,G$1+($A28-1)))</f>
        <v>1.2479732663618066</v>
      </c>
      <c r="H28" s="14"/>
    </row>
    <row r="29" spans="1:8" ht="12.75">
      <c r="A29" s="5">
        <f t="shared" si="4"/>
        <v>2</v>
      </c>
      <c r="B29" s="5">
        <f t="shared" si="5"/>
        <v>14</v>
      </c>
      <c r="D29" s="13">
        <f t="shared" si="6"/>
        <v>40873</v>
      </c>
      <c r="E29" s="36">
        <f t="shared" si="0"/>
        <v>260</v>
      </c>
      <c r="F29" s="14"/>
      <c r="G29" s="14">
        <f>IF(INDEX(LOG_Calc!$A:$XFD,$B29,G$1+($A29-1))="",#N/A,INDEX(LOG_Calc!$A:$XFD,$B29,G$1+($A29-1)))</f>
        <v>1.2695129442179163</v>
      </c>
      <c r="H29" s="14"/>
    </row>
    <row r="30" spans="1:8" ht="12.75">
      <c r="A30" s="5">
        <f t="shared" si="4"/>
        <v>2</v>
      </c>
      <c r="B30" s="5">
        <f t="shared" si="5"/>
        <v>15</v>
      </c>
      <c r="D30" s="13">
        <f t="shared" si="6"/>
        <v>40873</v>
      </c>
      <c r="E30" s="36">
        <f t="shared" si="0"/>
        <v>260</v>
      </c>
      <c r="F30" s="14"/>
      <c r="G30" s="14">
        <f>IF(INDEX(LOG_Calc!$A:$XFD,$B30,G$1+($A30-1))="",#N/A,INDEX(LOG_Calc!$A:$XFD,$B30,G$1+($A30-1)))</f>
        <v>1.2695129442179163</v>
      </c>
      <c r="H30" s="14"/>
    </row>
    <row r="31" spans="1:8" ht="12.75">
      <c r="A31" s="5">
        <f t="shared" si="4"/>
        <v>2</v>
      </c>
      <c r="B31" s="5">
        <f t="shared" si="5"/>
        <v>16</v>
      </c>
      <c r="D31" s="13">
        <f t="shared" si="6"/>
        <v>40873</v>
      </c>
      <c r="E31" s="36">
        <f t="shared" si="0"/>
        <v>260</v>
      </c>
      <c r="F31" s="14"/>
      <c r="G31" s="14">
        <f>IF(INDEX(LOG_Calc!$A:$XFD,$B31,G$1+($A31-1))="",#N/A,INDEX(LOG_Calc!$A:$XFD,$B31,G$1+($A31-1)))</f>
        <v>1.2671717284030137</v>
      </c>
      <c r="H31" s="14"/>
    </row>
    <row r="32" spans="1:8" ht="12.75">
      <c r="A32" s="5">
        <f t="shared" si="4"/>
        <v>2</v>
      </c>
      <c r="B32" s="5">
        <f t="shared" si="5"/>
        <v>17</v>
      </c>
      <c r="D32" s="13">
        <f t="shared" si="6"/>
        <v>40873</v>
      </c>
      <c r="E32" s="36">
        <f t="shared" si="0"/>
        <v>260</v>
      </c>
      <c r="F32" s="14"/>
      <c r="G32" s="14">
        <f>IF(INDEX(LOG_Calc!$A:$XFD,$B32,G$1+($A32-1))="",#N/A,INDEX(LOG_Calc!$A:$XFD,$B32,G$1+($A32-1)))</f>
        <v>1.271841606536499</v>
      </c>
      <c r="H32" s="14"/>
    </row>
    <row r="33" spans="1:8" ht="12.75">
      <c r="A33" s="5">
        <f t="shared" si="4"/>
        <v>2</v>
      </c>
      <c r="B33" s="5">
        <f t="shared" si="5"/>
        <v>18</v>
      </c>
      <c r="D33" s="13">
        <f t="shared" si="6"/>
        <v>40873</v>
      </c>
      <c r="E33" s="36">
        <f t="shared" si="0"/>
        <v>260</v>
      </c>
      <c r="F33" s="14"/>
      <c r="G33" s="14">
        <f>IF(INDEX(LOG_Calc!$A:$XFD,$B33,G$1+($A33-1))="",#N/A,INDEX(LOG_Calc!$A:$XFD,$B33,G$1+($A33-1)))</f>
        <v>1.271841606536499</v>
      </c>
      <c r="H33" s="14"/>
    </row>
    <row r="34" spans="1:8" ht="12.75">
      <c r="A34" s="5">
        <f t="shared" si="4"/>
        <v>2</v>
      </c>
      <c r="B34" s="5">
        <f t="shared" si="5"/>
        <v>19</v>
      </c>
      <c r="D34" s="13">
        <f t="shared" si="6"/>
        <v>40873</v>
      </c>
      <c r="E34" s="36">
        <f t="shared" si="0"/>
        <v>260</v>
      </c>
      <c r="F34" s="14"/>
      <c r="G34" s="14">
        <f>IF(INDEX(LOG_Calc!$A:$XFD,$B34,G$1+($A34-1))="",#N/A,INDEX(LOG_Calc!$A:$XFD,$B34,G$1+($A34-1)))</f>
        <v>1.276461804173244</v>
      </c>
      <c r="H34" s="14"/>
    </row>
    <row r="35" spans="1:8" ht="12.75">
      <c r="A35" s="5">
        <f t="shared" si="4"/>
        <v>2</v>
      </c>
      <c r="B35" s="5">
        <f t="shared" si="5"/>
        <v>20</v>
      </c>
      <c r="D35" s="13">
        <f t="shared" si="6"/>
        <v>40873</v>
      </c>
      <c r="E35" s="36">
        <f t="shared" si="0"/>
        <v>260</v>
      </c>
      <c r="F35" s="14"/>
      <c r="G35" s="14">
        <f>IF(INDEX(LOG_Calc!$A:$XFD,$B35,G$1+($A35-1))="",#N/A,INDEX(LOG_Calc!$A:$XFD,$B35,G$1+($A35-1)))</f>
        <v>1.2576785748691846</v>
      </c>
      <c r="H35" s="14"/>
    </row>
    <row r="36" spans="1:8" ht="12.75">
      <c r="A36" s="5">
        <f t="shared" si="4"/>
        <v>2</v>
      </c>
      <c r="B36" s="5">
        <f t="shared" si="5"/>
        <v>21</v>
      </c>
      <c r="D36" s="13">
        <f t="shared" si="6"/>
        <v>40873</v>
      </c>
      <c r="E36" s="36">
        <f t="shared" si="0"/>
        <v>260</v>
      </c>
      <c r="F36" s="14"/>
      <c r="G36" s="14">
        <f>IF(INDEX(LOG_Calc!$A:$XFD,$B36,G$1+($A36-1))="",#N/A,INDEX(LOG_Calc!$A:$XFD,$B36,G$1+($A36-1)))</f>
        <v>1.2648178230095364</v>
      </c>
      <c r="H36" s="14"/>
    </row>
    <row r="37" spans="1:8" ht="12.75">
      <c r="A37" s="5">
        <f t="shared" si="4"/>
        <v>2</v>
      </c>
      <c r="B37" s="5">
        <f t="shared" si="5"/>
        <v>22</v>
      </c>
      <c r="D37" s="13">
        <f t="shared" si="6"/>
        <v>40873</v>
      </c>
      <c r="E37" s="36">
        <f t="shared" si="0"/>
        <v>260</v>
      </c>
      <c r="F37" s="14"/>
      <c r="G37" s="14">
        <f>IF(INDEX(LOG_Calc!$A:$XFD,$B37,G$1+($A37-1))="",#N/A,INDEX(LOG_Calc!$A:$XFD,$B37,G$1+($A37-1)))</f>
        <v>1.276461804173244</v>
      </c>
      <c r="H37" s="14"/>
    </row>
    <row r="38" spans="1:8" ht="12.75">
      <c r="A38" s="5">
        <f t="shared" si="4"/>
        <v>2</v>
      </c>
      <c r="B38" s="5">
        <f t="shared" si="5"/>
        <v>23</v>
      </c>
      <c r="D38" s="13">
        <f t="shared" si="6"/>
        <v>40873</v>
      </c>
      <c r="E38" s="36">
        <f t="shared" si="0"/>
        <v>260</v>
      </c>
      <c r="F38" s="14"/>
      <c r="G38" s="14">
        <f>IF(INDEX(LOG_Calc!$A:$XFD,$B38,G$1+($A38-1))="",#N/A,INDEX(LOG_Calc!$A:$XFD,$B38,G$1+($A38-1)))</f>
        <v>1.2695129442179163</v>
      </c>
      <c r="H38" s="14"/>
    </row>
    <row r="39" spans="1:8" ht="12.75">
      <c r="A39" s="5">
        <f t="shared" si="4"/>
        <v>2</v>
      </c>
      <c r="B39" s="5">
        <f t="shared" si="5"/>
        <v>24</v>
      </c>
      <c r="D39" s="13">
        <f t="shared" si="6"/>
        <v>40873</v>
      </c>
      <c r="E39" s="36">
        <f t="shared" si="0"/>
        <v>260</v>
      </c>
      <c r="F39" s="14"/>
      <c r="G39" s="14">
        <f>IF(INDEX(LOG_Calc!$A:$XFD,$B39,G$1+($A39-1))="",#N/A,INDEX(LOG_Calc!$A:$XFD,$B39,G$1+($A39-1)))</f>
        <v>1.2695129442179163</v>
      </c>
      <c r="H39" s="14"/>
    </row>
    <row r="40" spans="4:8" ht="12.75">
      <c r="F40" s="14"/>
      <c r="G40" s="14"/>
      <c r="H40" s="14"/>
    </row>
    <row r="41" spans="1:8" ht="12.75">
      <c r="A41" s="5">
        <f>A26+1</f>
        <v>3</v>
      </c>
      <c r="B41" s="5">
        <v>11</v>
      </c>
      <c r="C41" s="5">
        <f>C26</f>
        <v>9</v>
      </c>
      <c r="D41" s="13">
        <f>INDEX(Ave_Calc!$A:$XFD,$C41,D$1+($A41-1))</f>
        <v>40986</v>
      </c>
      <c r="E41" s="36">
        <f t="shared" si="0"/>
        <v>373</v>
      </c>
      <c r="F41" s="14">
        <f>IF(INDEX(Ave_Calc!$A:$XFD,F$2+F$3,F$1+($A41-1))="",#N/A,INDEX(Ave_Calc!$A:$XFD,F$2+F$3,F$1+($A41-1)))</f>
        <v>1.1937108212438337</v>
      </c>
      <c r="G41" s="14">
        <f>IF(INDEX(LOG_Calc!$A:$XFD,$B41,G$1+($A41-1))="",#N/A,INDEX(LOG_Calc!$A:$XFD,$B41,G$1+($A41-1)))</f>
        <v>1.1205739312058498</v>
      </c>
      <c r="H41" s="14"/>
    </row>
    <row r="42" spans="1:8" ht="12.75">
      <c r="A42" s="5">
        <f>A41</f>
        <v>3</v>
      </c>
      <c r="B42" s="5">
        <f>B41+1</f>
        <v>12</v>
      </c>
      <c r="D42" s="13">
        <f>D41</f>
        <v>40986</v>
      </c>
      <c r="E42" s="36">
        <f t="shared" si="0"/>
        <v>373</v>
      </c>
      <c r="F42" s="14"/>
      <c r="G42" s="14">
        <f>IF(INDEX(LOG_Calc!$A:$XFD,$B42,G$1+($A42-1))="",#N/A,INDEX(LOG_Calc!$A:$XFD,$B42,G$1+($A42-1)))</f>
        <v>1.1205739312058498</v>
      </c>
      <c r="H42" s="14"/>
    </row>
    <row r="43" spans="1:8" ht="12.75">
      <c r="A43" s="5">
        <f aca="true" t="shared" si="7" ref="A43:A54">A42</f>
        <v>3</v>
      </c>
      <c r="B43" s="5">
        <f aca="true" t="shared" si="8" ref="B43:B54">B42+1</f>
        <v>13</v>
      </c>
      <c r="D43" s="13">
        <f aca="true" t="shared" si="9" ref="D43:D54">D42</f>
        <v>40986</v>
      </c>
      <c r="E43" s="36">
        <f t="shared" si="0"/>
        <v>373</v>
      </c>
      <c r="F43" s="14"/>
      <c r="G43" s="14">
        <f>IF(INDEX(LOG_Calc!$A:$XFD,$B43,G$1+($A43-1))="",#N/A,INDEX(LOG_Calc!$A:$XFD,$B43,G$1+($A43-1)))</f>
        <v>1.1846914308175989</v>
      </c>
      <c r="H43" s="14"/>
    </row>
    <row r="44" spans="1:8" ht="12.75">
      <c r="A44" s="5">
        <f t="shared" si="7"/>
        <v>3</v>
      </c>
      <c r="B44" s="5">
        <f t="shared" si="8"/>
        <v>14</v>
      </c>
      <c r="D44" s="13">
        <f t="shared" si="9"/>
        <v>40986</v>
      </c>
      <c r="E44" s="36">
        <f t="shared" si="0"/>
        <v>373</v>
      </c>
      <c r="F44" s="14"/>
      <c r="G44" s="14">
        <f>IF(INDEX(LOG_Calc!$A:$XFD,$B44,G$1+($A44-1))="",#N/A,INDEX(LOG_Calc!$A:$XFD,$B44,G$1+($A44-1)))</f>
        <v>1.187520720836463</v>
      </c>
      <c r="H44" s="14"/>
    </row>
    <row r="45" spans="1:8" ht="12.75">
      <c r="A45" s="5">
        <f t="shared" si="7"/>
        <v>3</v>
      </c>
      <c r="B45" s="5">
        <f t="shared" si="8"/>
        <v>15</v>
      </c>
      <c r="D45" s="13">
        <f t="shared" si="9"/>
        <v>40986</v>
      </c>
      <c r="E45" s="36">
        <f t="shared" si="0"/>
        <v>373</v>
      </c>
      <c r="F45" s="14"/>
      <c r="G45" s="14">
        <f>IF(INDEX(LOG_Calc!$A:$XFD,$B45,G$1+($A45-1))="",#N/A,INDEX(LOG_Calc!$A:$XFD,$B45,G$1+($A45-1)))</f>
        <v>1.2013971243204515</v>
      </c>
      <c r="H45" s="14"/>
    </row>
    <row r="46" spans="1:8" ht="12.75">
      <c r="A46" s="5">
        <f t="shared" si="7"/>
        <v>3</v>
      </c>
      <c r="B46" s="5">
        <f t="shared" si="8"/>
        <v>16</v>
      </c>
      <c r="D46" s="13">
        <f t="shared" si="9"/>
        <v>40986</v>
      </c>
      <c r="E46" s="36">
        <f t="shared" si="0"/>
        <v>373</v>
      </c>
      <c r="F46" s="14"/>
      <c r="G46" s="14">
        <f>IF(INDEX(LOG_Calc!$A:$XFD,$B46,G$1+($A46-1))="",#N/A,INDEX(LOG_Calc!$A:$XFD,$B46,G$1+($A46-1)))</f>
        <v>1.2068258760318498</v>
      </c>
      <c r="H46" s="14"/>
    </row>
    <row r="47" spans="1:8" ht="12.75">
      <c r="A47" s="5">
        <f t="shared" si="7"/>
        <v>3</v>
      </c>
      <c r="B47" s="5">
        <f t="shared" si="8"/>
        <v>17</v>
      </c>
      <c r="D47" s="13">
        <f t="shared" si="9"/>
        <v>40986</v>
      </c>
      <c r="E47" s="36">
        <f t="shared" si="0"/>
        <v>373</v>
      </c>
      <c r="F47" s="14"/>
      <c r="G47" s="14">
        <f>IF(INDEX(LOG_Calc!$A:$XFD,$B47,G$1+($A47-1))="",#N/A,INDEX(LOG_Calc!$A:$XFD,$B47,G$1+($A47-1)))</f>
        <v>1.209515014542631</v>
      </c>
      <c r="H47" s="14"/>
    </row>
    <row r="48" spans="1:8" ht="12.75">
      <c r="A48" s="5">
        <f t="shared" si="7"/>
        <v>3</v>
      </c>
      <c r="B48" s="5">
        <f t="shared" si="8"/>
        <v>18</v>
      </c>
      <c r="D48" s="13">
        <f t="shared" si="9"/>
        <v>40986</v>
      </c>
      <c r="E48" s="36">
        <f t="shared" si="0"/>
        <v>373</v>
      </c>
      <c r="F48" s="14"/>
      <c r="G48" s="14">
        <f>IF(INDEX(LOG_Calc!$A:$XFD,$B48,G$1+($A48-1))="",#N/A,INDEX(LOG_Calc!$A:$XFD,$B48,G$1+($A48-1)))</f>
        <v>1.2148438480476977</v>
      </c>
      <c r="H48" s="14"/>
    </row>
    <row r="49" spans="1:8" ht="12.75">
      <c r="A49" s="5">
        <f t="shared" si="7"/>
        <v>3</v>
      </c>
      <c r="B49" s="5">
        <f t="shared" si="8"/>
        <v>19</v>
      </c>
      <c r="D49" s="13">
        <f t="shared" si="9"/>
        <v>40986</v>
      </c>
      <c r="E49" s="36">
        <f t="shared" si="0"/>
        <v>373</v>
      </c>
      <c r="F49" s="14"/>
      <c r="G49" s="14">
        <f>IF(INDEX(LOG_Calc!$A:$XFD,$B49,G$1+($A49-1))="",#N/A,INDEX(LOG_Calc!$A:$XFD,$B49,G$1+($A49-1)))</f>
        <v>1.2201080880400552</v>
      </c>
      <c r="H49" s="14"/>
    </row>
    <row r="50" spans="1:8" ht="12.75">
      <c r="A50" s="5">
        <f t="shared" si="7"/>
        <v>3</v>
      </c>
      <c r="B50" s="5">
        <f t="shared" si="8"/>
        <v>20</v>
      </c>
      <c r="D50" s="13">
        <f t="shared" si="9"/>
        <v>40986</v>
      </c>
      <c r="E50" s="36">
        <f t="shared" si="0"/>
        <v>373</v>
      </c>
      <c r="F50" s="14"/>
      <c r="G50" s="14">
        <f>IF(INDEX(LOG_Calc!$A:$XFD,$B50,G$1+($A50-1))="",#N/A,INDEX(LOG_Calc!$A:$XFD,$B50,G$1+($A50-1)))</f>
        <v>1.1818435879447726</v>
      </c>
      <c r="H50" s="14"/>
    </row>
    <row r="51" spans="1:8" ht="12.75">
      <c r="A51" s="5">
        <f t="shared" si="7"/>
        <v>3</v>
      </c>
      <c r="B51" s="5">
        <f t="shared" si="8"/>
        <v>21</v>
      </c>
      <c r="D51" s="13">
        <f t="shared" si="9"/>
        <v>40986</v>
      </c>
      <c r="E51" s="36">
        <f t="shared" si="0"/>
        <v>373</v>
      </c>
      <c r="F51" s="14"/>
      <c r="G51" s="14">
        <f>IF(INDEX(LOG_Calc!$A:$XFD,$B51,G$1+($A51-1))="",#N/A,INDEX(LOG_Calc!$A:$XFD,$B51,G$1+($A51-1)))</f>
        <v>1.1986570869544226</v>
      </c>
      <c r="H51" s="14"/>
    </row>
    <row r="52" spans="1:8" ht="12.75">
      <c r="A52" s="5">
        <f t="shared" si="7"/>
        <v>3</v>
      </c>
      <c r="B52" s="5">
        <f t="shared" si="8"/>
        <v>22</v>
      </c>
      <c r="D52" s="13">
        <f t="shared" si="9"/>
        <v>40986</v>
      </c>
      <c r="E52" s="36">
        <f t="shared" si="0"/>
        <v>373</v>
      </c>
      <c r="F52" s="14"/>
      <c r="G52" s="14">
        <f>IF(INDEX(LOG_Calc!$A:$XFD,$B52,G$1+($A52-1))="",#N/A,INDEX(LOG_Calc!$A:$XFD,$B52,G$1+($A52-1)))</f>
        <v>1.2148438480476977</v>
      </c>
      <c r="H52" s="14"/>
    </row>
    <row r="53" spans="1:8" ht="12.75">
      <c r="A53" s="5">
        <f t="shared" si="7"/>
        <v>3</v>
      </c>
      <c r="B53" s="5">
        <f t="shared" si="8"/>
        <v>23</v>
      </c>
      <c r="D53" s="13">
        <f t="shared" si="9"/>
        <v>40986</v>
      </c>
      <c r="E53" s="36">
        <f t="shared" si="0"/>
        <v>373</v>
      </c>
      <c r="F53" s="14"/>
      <c r="G53" s="14">
        <f>IF(INDEX(LOG_Calc!$A:$XFD,$B53,G$1+($A53-1))="",#N/A,INDEX(LOG_Calc!$A:$XFD,$B53,G$1+($A53-1)))</f>
        <v>1.2304489213782739</v>
      </c>
      <c r="H53" s="14"/>
    </row>
    <row r="54" spans="1:8" ht="12.75">
      <c r="A54" s="5">
        <f t="shared" si="7"/>
        <v>3</v>
      </c>
      <c r="B54" s="5">
        <f t="shared" si="8"/>
        <v>24</v>
      </c>
      <c r="D54" s="13">
        <f t="shared" si="9"/>
        <v>40986</v>
      </c>
      <c r="E54" s="36">
        <f t="shared" si="0"/>
        <v>373</v>
      </c>
      <c r="F54" s="14"/>
      <c r="G54" s="14">
        <f>IF(INDEX(LOG_Calc!$A:$XFD,$B54,G$1+($A54-1))="",#N/A,INDEX(LOG_Calc!$A:$XFD,$B54,G$1+($A54-1)))</f>
        <v>1.2201080880400552</v>
      </c>
      <c r="H54" s="14"/>
    </row>
    <row r="55" spans="4:8" ht="12.75">
      <c r="F55" s="14"/>
      <c r="G55" s="14"/>
      <c r="H55" s="14"/>
    </row>
    <row r="56" spans="1:8" ht="12.75">
      <c r="A56" s="5">
        <f>A41+1</f>
        <v>4</v>
      </c>
      <c r="B56" s="5">
        <v>11</v>
      </c>
      <c r="C56" s="5">
        <f>C41</f>
        <v>9</v>
      </c>
      <c r="D56" s="13">
        <f>INDEX(Ave_Calc!$A:$XFD,$C56,D$1+($A56-1))</f>
        <v>41055</v>
      </c>
      <c r="E56" s="36">
        <f t="shared" si="0"/>
        <v>442</v>
      </c>
      <c r="F56" s="14">
        <f>IF(INDEX(Ave_Calc!$A:$XFD,F$2+F$3,F$1+($A56-1))="",#N/A,INDEX(Ave_Calc!$A:$XFD,F$2+F$3,F$1+($A56-1)))</f>
        <v>1.126257859382997</v>
      </c>
      <c r="G56" s="14">
        <f>IF(INDEX(LOG_Calc!$A:$XFD,$B56,G$1+($A56-1))="",#N/A,INDEX(LOG_Calc!$A:$XFD,$B56,G$1+($A56-1)))</f>
        <v>1.0170333392987803</v>
      </c>
      <c r="H56" s="14"/>
    </row>
    <row r="57" spans="1:8" ht="12.75">
      <c r="A57" s="5">
        <f>A56</f>
        <v>4</v>
      </c>
      <c r="B57" s="5">
        <f>B56+1</f>
        <v>12</v>
      </c>
      <c r="D57" s="13">
        <f>D56</f>
        <v>41055</v>
      </c>
      <c r="E57" s="36">
        <f t="shared" si="0"/>
        <v>442</v>
      </c>
      <c r="F57" s="14"/>
      <c r="G57" s="14">
        <f>IF(INDEX(LOG_Calc!$A:$XFD,$B57,G$1+($A57-1))="",#N/A,INDEX(LOG_Calc!$A:$XFD,$B57,G$1+($A57-1)))</f>
        <v>1.0253058652647702</v>
      </c>
      <c r="H57" s="14"/>
    </row>
    <row r="58" spans="1:8" ht="12.75">
      <c r="A58" s="5">
        <f aca="true" t="shared" si="10" ref="A58:A69">A57</f>
        <v>4</v>
      </c>
      <c r="B58" s="5">
        <f aca="true" t="shared" si="11" ref="B58:B69">B57+1</f>
        <v>13</v>
      </c>
      <c r="D58" s="13">
        <f aca="true" t="shared" si="12" ref="D58:D69">D57</f>
        <v>41055</v>
      </c>
      <c r="E58" s="36">
        <f t="shared" si="0"/>
        <v>442</v>
      </c>
      <c r="F58" s="14"/>
      <c r="G58" s="14">
        <f>IF(INDEX(LOG_Calc!$A:$XFD,$B58,G$1+($A58-1))="",#N/A,INDEX(LOG_Calc!$A:$XFD,$B58,G$1+($A58-1)))</f>
        <v>1.0791812460476249</v>
      </c>
      <c r="H58" s="14"/>
    </row>
    <row r="59" spans="1:8" ht="12.75">
      <c r="A59" s="5">
        <f t="shared" si="10"/>
        <v>4</v>
      </c>
      <c r="B59" s="5">
        <f t="shared" si="11"/>
        <v>14</v>
      </c>
      <c r="D59" s="13">
        <f t="shared" si="12"/>
        <v>41055</v>
      </c>
      <c r="E59" s="36">
        <f t="shared" si="0"/>
        <v>442</v>
      </c>
      <c r="F59" s="14"/>
      <c r="G59" s="14">
        <f>IF(INDEX(LOG_Calc!$A:$XFD,$B59,G$1+($A59-1))="",#N/A,INDEX(LOG_Calc!$A:$XFD,$B59,G$1+($A59-1)))</f>
        <v>1.0934216851622351</v>
      </c>
      <c r="H59" s="14"/>
    </row>
    <row r="60" spans="1:8" ht="12.75">
      <c r="A60" s="5">
        <f t="shared" si="10"/>
        <v>4</v>
      </c>
      <c r="B60" s="5">
        <f t="shared" si="11"/>
        <v>15</v>
      </c>
      <c r="D60" s="13">
        <f t="shared" si="12"/>
        <v>41055</v>
      </c>
      <c r="E60" s="36">
        <f t="shared" si="0"/>
        <v>442</v>
      </c>
      <c r="F60" s="14"/>
      <c r="G60" s="14">
        <f>IF(INDEX(LOG_Calc!$A:$XFD,$B60,G$1+($A60-1))="",#N/A,INDEX(LOG_Calc!$A:$XFD,$B60,G$1+($A60-1)))</f>
        <v>1.0969100130080565</v>
      </c>
      <c r="H60" s="14"/>
    </row>
    <row r="61" spans="1:8" ht="12.75">
      <c r="A61" s="5">
        <f t="shared" si="10"/>
        <v>4</v>
      </c>
      <c r="B61" s="5">
        <f t="shared" si="11"/>
        <v>16</v>
      </c>
      <c r="D61" s="13">
        <f t="shared" si="12"/>
        <v>41055</v>
      </c>
      <c r="E61" s="36">
        <f t="shared" si="0"/>
        <v>442</v>
      </c>
      <c r="F61" s="14"/>
      <c r="G61" s="14">
        <f>IF(INDEX(LOG_Calc!$A:$XFD,$B61,G$1+($A61-1))="",#N/A,INDEX(LOG_Calc!$A:$XFD,$B61,G$1+($A61-1)))</f>
        <v>1.08278537031645</v>
      </c>
      <c r="H61" s="14"/>
    </row>
    <row r="62" spans="1:8" ht="12.75">
      <c r="A62" s="5">
        <f t="shared" si="10"/>
        <v>4</v>
      </c>
      <c r="B62" s="5">
        <f t="shared" si="11"/>
        <v>17</v>
      </c>
      <c r="D62" s="13">
        <f t="shared" si="12"/>
        <v>41055</v>
      </c>
      <c r="E62" s="36">
        <f t="shared" si="0"/>
        <v>442</v>
      </c>
      <c r="F62" s="14"/>
      <c r="G62" s="14">
        <f>IF(INDEX(LOG_Calc!$A:$XFD,$B62,G$1+($A62-1))="",#N/A,INDEX(LOG_Calc!$A:$XFD,$B62,G$1+($A62-1)))</f>
        <v>1.0755469613925308</v>
      </c>
      <c r="H62" s="14"/>
    </row>
    <row r="63" spans="1:8" ht="12.75">
      <c r="A63" s="5">
        <f t="shared" si="10"/>
        <v>4</v>
      </c>
      <c r="B63" s="5">
        <f t="shared" si="11"/>
        <v>18</v>
      </c>
      <c r="D63" s="13">
        <f t="shared" si="12"/>
        <v>41055</v>
      </c>
      <c r="E63" s="36">
        <f t="shared" si="0"/>
        <v>442</v>
      </c>
      <c r="F63" s="14"/>
      <c r="G63" s="14">
        <f>IF(INDEX(LOG_Calc!$A:$XFD,$B63,G$1+($A63-1))="",#N/A,INDEX(LOG_Calc!$A:$XFD,$B63,G$1+($A63-1)))</f>
        <v>1.0755469613925308</v>
      </c>
      <c r="H63" s="14"/>
    </row>
    <row r="64" spans="1:8" ht="12.75">
      <c r="A64" s="5">
        <f t="shared" si="10"/>
        <v>4</v>
      </c>
      <c r="B64" s="5">
        <f t="shared" si="11"/>
        <v>19</v>
      </c>
      <c r="D64" s="13">
        <f t="shared" si="12"/>
        <v>41055</v>
      </c>
      <c r="E64" s="36">
        <f t="shared" si="0"/>
        <v>442</v>
      </c>
      <c r="F64" s="14"/>
      <c r="G64" s="14">
        <f>IF(INDEX(LOG_Calc!$A:$XFD,$B64,G$1+($A64-1))="",#N/A,INDEX(LOG_Calc!$A:$XFD,$B64,G$1+($A64-1)))</f>
        <v>1.0569048513364727</v>
      </c>
      <c r="H64" s="14"/>
    </row>
    <row r="65" spans="1:8" ht="12.75">
      <c r="A65" s="5">
        <f t="shared" si="10"/>
        <v>4</v>
      </c>
      <c r="B65" s="5">
        <f t="shared" si="11"/>
        <v>20</v>
      </c>
      <c r="D65" s="13">
        <f t="shared" si="12"/>
        <v>41055</v>
      </c>
      <c r="E65" s="36">
        <f t="shared" si="0"/>
        <v>442</v>
      </c>
      <c r="F65" s="14"/>
      <c r="G65" s="14">
        <f>IF(INDEX(LOG_Calc!$A:$XFD,$B65,G$1+($A65-1))="",#N/A,INDEX(LOG_Calc!$A:$XFD,$B65,G$1+($A65-1)))</f>
        <v>1.089905111439398</v>
      </c>
      <c r="H65" s="14"/>
    </row>
    <row r="66" spans="1:8" ht="12.75">
      <c r="A66" s="5">
        <f t="shared" si="10"/>
        <v>4</v>
      </c>
      <c r="B66" s="5">
        <f t="shared" si="11"/>
        <v>21</v>
      </c>
      <c r="D66" s="13">
        <f t="shared" si="12"/>
        <v>41055</v>
      </c>
      <c r="E66" s="36">
        <f t="shared" si="0"/>
        <v>442</v>
      </c>
      <c r="F66" s="14"/>
      <c r="G66" s="14">
        <f>IF(INDEX(LOG_Calc!$A:$XFD,$B66,G$1+($A66-1))="",#N/A,INDEX(LOG_Calc!$A:$XFD,$B66,G$1+($A66-1)))</f>
        <v>1.3096301674258988</v>
      </c>
      <c r="H66" s="14"/>
    </row>
    <row r="67" spans="1:8" ht="12.75">
      <c r="A67" s="5">
        <f t="shared" si="10"/>
        <v>4</v>
      </c>
      <c r="B67" s="5">
        <f t="shared" si="11"/>
        <v>22</v>
      </c>
      <c r="D67" s="13">
        <f t="shared" si="12"/>
        <v>41055</v>
      </c>
      <c r="E67" s="36">
        <f t="shared" si="0"/>
        <v>442</v>
      </c>
      <c r="F67" s="14"/>
      <c r="G67" s="14">
        <f>IF(INDEX(LOG_Calc!$A:$XFD,$B67,G$1+($A67-1))="",#N/A,INDEX(LOG_Calc!$A:$XFD,$B67,G$1+($A67-1)))</f>
        <v>1.2600713879850747</v>
      </c>
      <c r="H67" s="14"/>
    </row>
    <row r="68" spans="1:8" ht="12.75">
      <c r="A68" s="5">
        <f t="shared" si="10"/>
        <v>4</v>
      </c>
      <c r="B68" s="5">
        <f t="shared" si="11"/>
        <v>23</v>
      </c>
      <c r="D68" s="13">
        <f t="shared" si="12"/>
        <v>41055</v>
      </c>
      <c r="E68" s="36">
        <f t="shared" si="0"/>
        <v>442</v>
      </c>
      <c r="F68" s="14"/>
      <c r="G68" s="14">
        <f>IF(INDEX(LOG_Calc!$A:$XFD,$B68,G$1+($A68-1))="",#N/A,INDEX(LOG_Calc!$A:$XFD,$B68,G$1+($A68-1)))</f>
        <v>1.2648178230095364</v>
      </c>
      <c r="H68" s="14"/>
    </row>
    <row r="69" spans="1:8" ht="12.75">
      <c r="A69" s="5">
        <f t="shared" si="10"/>
        <v>4</v>
      </c>
      <c r="B69" s="5">
        <f t="shared" si="11"/>
        <v>24</v>
      </c>
      <c r="D69" s="13">
        <f t="shared" si="12"/>
        <v>41055</v>
      </c>
      <c r="E69" s="36">
        <f t="shared" si="0"/>
        <v>442</v>
      </c>
      <c r="F69" s="14"/>
      <c r="G69" s="14">
        <f>IF(INDEX(LOG_Calc!$A:$XFD,$B69,G$1+($A69-1))="",#N/A,INDEX(LOG_Calc!$A:$XFD,$B69,G$1+($A69-1)))</f>
        <v>1.2405492482825997</v>
      </c>
      <c r="H69" s="14"/>
    </row>
    <row r="70" spans="4:8" ht="12.75">
      <c r="F70" s="14"/>
      <c r="G70" s="14"/>
      <c r="H70" s="14"/>
    </row>
    <row r="71" spans="1:8" ht="12.75">
      <c r="A71" s="5">
        <f>A56+1</f>
        <v>5</v>
      </c>
      <c r="B71" s="5">
        <v>11</v>
      </c>
      <c r="C71" s="5">
        <f>C56</f>
        <v>9</v>
      </c>
      <c r="D71" s="13">
        <f>INDEX(Ave_Calc!$A:$XFD,$C71,D$1+($A71-1))</f>
        <v>41189</v>
      </c>
      <c r="E71" s="36">
        <f t="shared" si="0"/>
        <v>576</v>
      </c>
      <c r="F71" s="14">
        <f>IF(INDEX(Ave_Calc!$A:$XFD,F$2+F$3,F$1+($A71-1))="",#N/A,INDEX(Ave_Calc!$A:$XFD,F$2+F$3,F$1+($A71-1)))</f>
        <v>1.1767951692190657</v>
      </c>
      <c r="G71" s="14">
        <f>IF(INDEX(LOG_Calc!$A:$XFD,$B71,G$1+($A71-1))="",#N/A,INDEX(LOG_Calc!$A:$XFD,$B71,G$1+($A71-1)))</f>
        <v>1.0606978403536116</v>
      </c>
      <c r="H71" s="14"/>
    </row>
    <row r="72" spans="1:8" ht="12.75">
      <c r="A72" s="5">
        <f>A71</f>
        <v>5</v>
      </c>
      <c r="B72" s="5">
        <f>B71+1</f>
        <v>12</v>
      </c>
      <c r="D72" s="13">
        <f>D71</f>
        <v>41189</v>
      </c>
      <c r="E72" s="36">
        <f t="shared" si="0"/>
        <v>576</v>
      </c>
      <c r="F72" s="14"/>
      <c r="G72" s="14">
        <f>IF(INDEX(LOG_Calc!$A:$XFD,$B72,G$1+($A72-1))="",#N/A,INDEX(LOG_Calc!$A:$XFD,$B72,G$1+($A72-1)))</f>
        <v>1.1702617153949575</v>
      </c>
      <c r="H72" s="14"/>
    </row>
    <row r="73" spans="1:8" ht="12.75">
      <c r="A73" s="5">
        <f aca="true" t="shared" si="13" ref="A73:A84">A72</f>
        <v>5</v>
      </c>
      <c r="B73" s="5">
        <f aca="true" t="shared" si="14" ref="B73:B84">B72+1</f>
        <v>13</v>
      </c>
      <c r="D73" s="13">
        <f aca="true" t="shared" si="15" ref="D73:D84">D72</f>
        <v>41189</v>
      </c>
      <c r="E73" s="36">
        <f t="shared" si="0"/>
        <v>576</v>
      </c>
      <c r="F73" s="14"/>
      <c r="G73" s="14">
        <f>IF(INDEX(LOG_Calc!$A:$XFD,$B73,G$1+($A73-1))="",#N/A,INDEX(LOG_Calc!$A:$XFD,$B73,G$1+($A73-1)))</f>
        <v>1.0681858617461617</v>
      </c>
      <c r="H73" s="14"/>
    </row>
    <row r="74" spans="1:8" ht="12.75">
      <c r="A74" s="5">
        <f t="shared" si="13"/>
        <v>5</v>
      </c>
      <c r="B74" s="5">
        <f t="shared" si="14"/>
        <v>14</v>
      </c>
      <c r="D74" s="13">
        <f t="shared" si="15"/>
        <v>41189</v>
      </c>
      <c r="E74" s="36">
        <f t="shared" si="0"/>
        <v>576</v>
      </c>
      <c r="F74" s="14"/>
      <c r="G74" s="14">
        <f>IF(INDEX(LOG_Calc!$A:$XFD,$B74,G$1+($A74-1))="",#N/A,INDEX(LOG_Calc!$A:$XFD,$B74,G$1+($A74-1)))</f>
        <v>1.0334237554869496</v>
      </c>
      <c r="H74" s="14"/>
    </row>
    <row r="75" spans="1:8" ht="12.75">
      <c r="A75" s="5">
        <f t="shared" si="13"/>
        <v>5</v>
      </c>
      <c r="B75" s="5">
        <f t="shared" si="14"/>
        <v>15</v>
      </c>
      <c r="D75" s="13">
        <f t="shared" si="15"/>
        <v>41189</v>
      </c>
      <c r="E75" s="36">
        <f t="shared" si="0"/>
        <v>576</v>
      </c>
      <c r="F75" s="14"/>
      <c r="G75" s="14">
        <f>IF(INDEX(LOG_Calc!$A:$XFD,$B75,G$1+($A75-1))="",#N/A,INDEX(LOG_Calc!$A:$XFD,$B75,G$1+($A75-1)))</f>
        <v>1.0170333392987803</v>
      </c>
      <c r="H75" s="14"/>
    </row>
    <row r="76" spans="1:8" ht="12.75">
      <c r="A76" s="5">
        <f t="shared" si="13"/>
        <v>5</v>
      </c>
      <c r="B76" s="5">
        <f t="shared" si="14"/>
        <v>16</v>
      </c>
      <c r="D76" s="13">
        <f t="shared" si="15"/>
        <v>41189</v>
      </c>
      <c r="E76" s="36">
        <f aca="true" t="shared" si="16" ref="E76:E84">DATEDIF(DATE(2011,3,11),D76,"d")</f>
        <v>576</v>
      </c>
      <c r="F76" s="14"/>
      <c r="G76" s="14">
        <f>IF(INDEX(LOG_Calc!$A:$XFD,$B76,G$1+($A76-1))="",#N/A,INDEX(LOG_Calc!$A:$XFD,$B76,G$1+($A76-1)))</f>
        <v>1.1931245983544616</v>
      </c>
      <c r="H76" s="14"/>
    </row>
    <row r="77" spans="1:8" ht="12.75">
      <c r="A77" s="5">
        <f t="shared" si="13"/>
        <v>5</v>
      </c>
      <c r="B77" s="5">
        <f t="shared" si="14"/>
        <v>17</v>
      </c>
      <c r="D77" s="13">
        <f t="shared" si="15"/>
        <v>41189</v>
      </c>
      <c r="E77" s="36">
        <f t="shared" si="16"/>
        <v>576</v>
      </c>
      <c r="F77" s="14"/>
      <c r="G77" s="14">
        <f>IF(INDEX(LOG_Calc!$A:$XFD,$B77,G$1+($A77-1))="",#N/A,INDEX(LOG_Calc!$A:$XFD,$B77,G$1+($A77-1)))</f>
        <v>1.2329961103921538</v>
      </c>
      <c r="H77" s="14"/>
    </row>
    <row r="78" spans="1:8" ht="12.75">
      <c r="A78" s="5">
        <f t="shared" si="13"/>
        <v>5</v>
      </c>
      <c r="B78" s="5">
        <f t="shared" si="14"/>
        <v>18</v>
      </c>
      <c r="D78" s="13">
        <f t="shared" si="15"/>
        <v>41189</v>
      </c>
      <c r="E78" s="36">
        <f t="shared" si="16"/>
        <v>576</v>
      </c>
      <c r="F78" s="14"/>
      <c r="G78" s="14">
        <f>IF(INDEX(LOG_Calc!$A:$XFD,$B78,G$1+($A78-1))="",#N/A,INDEX(LOG_Calc!$A:$XFD,$B78,G$1+($A78-1)))</f>
        <v>1.1367205671564067</v>
      </c>
      <c r="H78" s="14"/>
    </row>
    <row r="79" spans="1:8" ht="12.75">
      <c r="A79" s="5">
        <f t="shared" si="13"/>
        <v>5</v>
      </c>
      <c r="B79" s="5">
        <f t="shared" si="14"/>
        <v>19</v>
      </c>
      <c r="D79" s="13">
        <f t="shared" si="15"/>
        <v>41189</v>
      </c>
      <c r="E79" s="36">
        <f t="shared" si="16"/>
        <v>576</v>
      </c>
      <c r="F79" s="14"/>
      <c r="G79" s="14">
        <f>IF(INDEX(LOG_Calc!$A:$XFD,$B79,G$1+($A79-1))="",#N/A,INDEX(LOG_Calc!$A:$XFD,$B79,G$1+($A79-1)))</f>
        <v>1.2787536009528289</v>
      </c>
      <c r="H79" s="14"/>
    </row>
    <row r="80" spans="1:8" ht="12.75">
      <c r="A80" s="5">
        <f t="shared" si="13"/>
        <v>5</v>
      </c>
      <c r="B80" s="5">
        <f t="shared" si="14"/>
        <v>20</v>
      </c>
      <c r="D80" s="13">
        <f t="shared" si="15"/>
        <v>41189</v>
      </c>
      <c r="E80" s="36">
        <f t="shared" si="16"/>
        <v>576</v>
      </c>
      <c r="F80" s="14"/>
      <c r="G80" s="14">
        <f>IF(INDEX(LOG_Calc!$A:$XFD,$B80,G$1+($A80-1))="",#N/A,INDEX(LOG_Calc!$A:$XFD,$B80,G$1+($A80-1)))</f>
        <v>1.2741578492636798</v>
      </c>
      <c r="H80" s="14"/>
    </row>
    <row r="81" spans="1:8" ht="12.75">
      <c r="A81" s="5">
        <f t="shared" si="13"/>
        <v>5</v>
      </c>
      <c r="B81" s="5">
        <f t="shared" si="14"/>
        <v>21</v>
      </c>
      <c r="D81" s="13">
        <f t="shared" si="15"/>
        <v>41189</v>
      </c>
      <c r="E81" s="36">
        <f t="shared" si="16"/>
        <v>576</v>
      </c>
      <c r="F81" s="14"/>
      <c r="G81" s="14">
        <f>IF(INDEX(LOG_Calc!$A:$XFD,$B81,G$1+($A81-1))="",#N/A,INDEX(LOG_Calc!$A:$XFD,$B81,G$1+($A81-1)))</f>
        <v>1.3031960574204888</v>
      </c>
      <c r="H81" s="14"/>
    </row>
    <row r="82" spans="1:8" ht="12.75">
      <c r="A82" s="5">
        <f t="shared" si="13"/>
        <v>5</v>
      </c>
      <c r="B82" s="5">
        <f t="shared" si="14"/>
        <v>22</v>
      </c>
      <c r="D82" s="13">
        <f t="shared" si="15"/>
        <v>41189</v>
      </c>
      <c r="E82" s="36">
        <f t="shared" si="16"/>
        <v>576</v>
      </c>
      <c r="F82" s="14"/>
      <c r="G82" s="14">
        <f>IF(INDEX(LOG_Calc!$A:$XFD,$B82,G$1+($A82-1))="",#N/A,INDEX(LOG_Calc!$A:$XFD,$B82,G$1+($A82-1)))</f>
        <v>1.307496037913213</v>
      </c>
      <c r="H82" s="14"/>
    </row>
    <row r="83" spans="1:8" ht="12.75">
      <c r="A83" s="5">
        <f t="shared" si="13"/>
        <v>5</v>
      </c>
      <c r="B83" s="5">
        <f t="shared" si="14"/>
        <v>23</v>
      </c>
      <c r="D83" s="13">
        <f t="shared" si="15"/>
        <v>41189</v>
      </c>
      <c r="E83" s="36">
        <f t="shared" si="16"/>
        <v>576</v>
      </c>
      <c r="F83" s="14"/>
      <c r="G83" s="14">
        <f>IF(INDEX(LOG_Calc!$A:$XFD,$B83,G$1+($A83-1))="",#N/A,INDEX(LOG_Calc!$A:$XFD,$B83,G$1+($A83-1)))</f>
        <v>1.2201080880400552</v>
      </c>
      <c r="H83" s="14"/>
    </row>
    <row r="84" spans="1:8" ht="12.75">
      <c r="A84" s="5">
        <f t="shared" si="13"/>
        <v>5</v>
      </c>
      <c r="B84" s="5">
        <f t="shared" si="14"/>
        <v>24</v>
      </c>
      <c r="D84" s="13">
        <f t="shared" si="15"/>
        <v>41189</v>
      </c>
      <c r="E84" s="36">
        <f t="shared" si="16"/>
        <v>576</v>
      </c>
      <c r="F84" s="14"/>
      <c r="G84" s="14">
        <f>IF(INDEX(LOG_Calc!$A:$XFD,$B84,G$1+($A84-1))="",#N/A,INDEX(LOG_Calc!$A:$XFD,$B84,G$1+($A84-1)))</f>
        <v>1.1789769472931695</v>
      </c>
      <c r="H84" s="14"/>
    </row>
    <row r="85" spans="4:8" ht="12.75">
      <c r="F85" s="14"/>
      <c r="G85" s="14"/>
      <c r="H85" s="14"/>
    </row>
    <row r="86" spans="1:8" ht="12.75">
      <c r="A86" s="5">
        <f>A71+1</f>
        <v>6</v>
      </c>
      <c r="B86" s="5">
        <v>11</v>
      </c>
      <c r="C86" s="5">
        <f>C71</f>
        <v>9</v>
      </c>
      <c r="D86" s="13">
        <f>INDEX(Ave_Calc!$A:$XFD,$C86,D$1+($A86-1))</f>
        <v>41236</v>
      </c>
      <c r="E86" s="36">
        <f aca="true" t="shared" si="17" ref="E86:E149">DATEDIF(DATE(2011,3,11),D86,"d")</f>
        <v>623</v>
      </c>
      <c r="F86" s="14">
        <f>IF(INDEX(Ave_Calc!$A:$XFD,F$2+F$3,F$1+($A86-1))="",#N/A,INDEX(Ave_Calc!$A:$XFD,F$2+F$3,F$1+($A86-1)))</f>
        <v>1.1924435178521835</v>
      </c>
      <c r="G86" s="14">
        <f>IF(INDEX(LOG_Calc!$A:$XFD,$B86,G$1+($A86-1))="",#N/A,INDEX(LOG_Calc!$A:$XFD,$B86,G$1+($A86-1)))</f>
        <v>1.1522883443830565</v>
      </c>
      <c r="H86" s="14"/>
    </row>
    <row r="87" spans="1:8" ht="12.75">
      <c r="A87" s="5">
        <f>A86</f>
        <v>6</v>
      </c>
      <c r="B87" s="5">
        <f>B86+1</f>
        <v>12</v>
      </c>
      <c r="D87" s="13">
        <f>D86</f>
        <v>41236</v>
      </c>
      <c r="E87" s="36">
        <f t="shared" si="17"/>
        <v>623</v>
      </c>
      <c r="F87" s="14"/>
      <c r="G87" s="14">
        <f>IF(INDEX(LOG_Calc!$A:$XFD,$B87,G$1+($A87-1))="",#N/A,INDEX(LOG_Calc!$A:$XFD,$B87,G$1+($A87-1)))</f>
        <v>1.1643528557844371</v>
      </c>
      <c r="H87" s="14"/>
    </row>
    <row r="88" spans="1:8" ht="12.75">
      <c r="A88" s="5">
        <f aca="true" t="shared" si="18" ref="A88:A99">A87</f>
        <v>6</v>
      </c>
      <c r="B88" s="5">
        <f aca="true" t="shared" si="19" ref="B88:B99">B87+1</f>
        <v>13</v>
      </c>
      <c r="D88" s="13">
        <f aca="true" t="shared" si="20" ref="D88:D99">D87</f>
        <v>41236</v>
      </c>
      <c r="E88" s="36">
        <f t="shared" si="17"/>
        <v>623</v>
      </c>
      <c r="F88" s="14"/>
      <c r="G88" s="14">
        <f>IF(INDEX(LOG_Calc!$A:$XFD,$B88,G$1+($A88-1))="",#N/A,INDEX(LOG_Calc!$A:$XFD,$B88,G$1+($A88-1)))</f>
        <v>1.1986570869544226</v>
      </c>
      <c r="H88" s="14"/>
    </row>
    <row r="89" spans="1:8" ht="12.75">
      <c r="A89" s="5">
        <f t="shared" si="18"/>
        <v>6</v>
      </c>
      <c r="B89" s="5">
        <f t="shared" si="19"/>
        <v>14</v>
      </c>
      <c r="D89" s="13">
        <f t="shared" si="20"/>
        <v>41236</v>
      </c>
      <c r="E89" s="36">
        <f t="shared" si="17"/>
        <v>623</v>
      </c>
      <c r="F89" s="14"/>
      <c r="G89" s="14">
        <f>IF(INDEX(LOG_Calc!$A:$XFD,$B89,G$1+($A89-1))="",#N/A,INDEX(LOG_Calc!$A:$XFD,$B89,G$1+($A89-1)))</f>
        <v>1.2041199826559248</v>
      </c>
      <c r="H89" s="14"/>
    </row>
    <row r="90" spans="1:8" ht="12.75">
      <c r="A90" s="5">
        <f t="shared" si="18"/>
        <v>6</v>
      </c>
      <c r="B90" s="5">
        <f t="shared" si="19"/>
        <v>15</v>
      </c>
      <c r="D90" s="13">
        <f t="shared" si="20"/>
        <v>41236</v>
      </c>
      <c r="E90" s="36">
        <f t="shared" si="17"/>
        <v>623</v>
      </c>
      <c r="F90" s="14"/>
      <c r="G90" s="14">
        <f>IF(INDEX(LOG_Calc!$A:$XFD,$B90,G$1+($A90-1))="",#N/A,INDEX(LOG_Calc!$A:$XFD,$B90,G$1+($A90-1)))</f>
        <v>1.2041199826559248</v>
      </c>
      <c r="H90" s="14"/>
    </row>
    <row r="91" spans="1:8" ht="12.75">
      <c r="A91" s="5">
        <f t="shared" si="18"/>
        <v>6</v>
      </c>
      <c r="B91" s="5">
        <f t="shared" si="19"/>
        <v>16</v>
      </c>
      <c r="D91" s="13">
        <f t="shared" si="20"/>
        <v>41236</v>
      </c>
      <c r="E91" s="36">
        <f t="shared" si="17"/>
        <v>623</v>
      </c>
      <c r="F91" s="14"/>
      <c r="G91" s="14">
        <f>IF(INDEX(LOG_Calc!$A:$XFD,$B91,G$1+($A91-1))="",#N/A,INDEX(LOG_Calc!$A:$XFD,$B91,G$1+($A91-1)))</f>
        <v>1.2041199826559248</v>
      </c>
      <c r="H91" s="14"/>
    </row>
    <row r="92" spans="1:8" ht="12.75">
      <c r="A92" s="5">
        <f t="shared" si="18"/>
        <v>6</v>
      </c>
      <c r="B92" s="5">
        <f t="shared" si="19"/>
        <v>17</v>
      </c>
      <c r="D92" s="13">
        <f t="shared" si="20"/>
        <v>41236</v>
      </c>
      <c r="E92" s="36">
        <f t="shared" si="17"/>
        <v>623</v>
      </c>
      <c r="F92" s="14"/>
      <c r="G92" s="14">
        <f>IF(INDEX(LOG_Calc!$A:$XFD,$B92,G$1+($A92-1))="",#N/A,INDEX(LOG_Calc!$A:$XFD,$B92,G$1+($A92-1)))</f>
        <v>1.2041199826559248</v>
      </c>
      <c r="H92" s="14"/>
    </row>
    <row r="93" spans="1:8" ht="12.75">
      <c r="A93" s="5">
        <f t="shared" si="18"/>
        <v>6</v>
      </c>
      <c r="B93" s="5">
        <f t="shared" si="19"/>
        <v>18</v>
      </c>
      <c r="D93" s="13">
        <f t="shared" si="20"/>
        <v>41236</v>
      </c>
      <c r="E93" s="36">
        <f t="shared" si="17"/>
        <v>623</v>
      </c>
      <c r="F93" s="14"/>
      <c r="G93" s="14">
        <f>IF(INDEX(LOG_Calc!$A:$XFD,$B93,G$1+($A93-1))="",#N/A,INDEX(LOG_Calc!$A:$XFD,$B93,G$1+($A93-1)))</f>
        <v>1.2013971243204515</v>
      </c>
      <c r="H93" s="14"/>
    </row>
    <row r="94" spans="1:8" ht="12.75">
      <c r="A94" s="5">
        <f t="shared" si="18"/>
        <v>6</v>
      </c>
      <c r="B94" s="5">
        <f t="shared" si="19"/>
        <v>19</v>
      </c>
      <c r="D94" s="13">
        <f t="shared" si="20"/>
        <v>41236</v>
      </c>
      <c r="E94" s="36">
        <f t="shared" si="17"/>
        <v>623</v>
      </c>
      <c r="F94" s="14"/>
      <c r="G94" s="14">
        <f>IF(INDEX(LOG_Calc!$A:$XFD,$B94,G$1+($A94-1))="",#N/A,INDEX(LOG_Calc!$A:$XFD,$B94,G$1+($A94-1)))</f>
        <v>1.2013971243204515</v>
      </c>
      <c r="H94" s="14"/>
    </row>
    <row r="95" spans="1:8" ht="12.75">
      <c r="A95" s="5">
        <f t="shared" si="18"/>
        <v>6</v>
      </c>
      <c r="B95" s="5">
        <f t="shared" si="19"/>
        <v>20</v>
      </c>
      <c r="D95" s="13">
        <f t="shared" si="20"/>
        <v>41236</v>
      </c>
      <c r="E95" s="36">
        <f t="shared" si="17"/>
        <v>623</v>
      </c>
      <c r="F95" s="14"/>
      <c r="G95" s="14">
        <f>IF(INDEX(LOG_Calc!$A:$XFD,$B95,G$1+($A95-1))="",#N/A,INDEX(LOG_Calc!$A:$XFD,$B95,G$1+($A95-1)))</f>
        <v>1.1760912590556813</v>
      </c>
      <c r="H95" s="14"/>
    </row>
    <row r="96" spans="1:8" ht="12.75">
      <c r="A96" s="5">
        <f t="shared" si="18"/>
        <v>6</v>
      </c>
      <c r="B96" s="5">
        <f t="shared" si="19"/>
        <v>21</v>
      </c>
      <c r="D96" s="13">
        <f t="shared" si="20"/>
        <v>41236</v>
      </c>
      <c r="E96" s="36">
        <f t="shared" si="17"/>
        <v>623</v>
      </c>
      <c r="F96" s="14"/>
      <c r="G96" s="14">
        <f>IF(INDEX(LOG_Calc!$A:$XFD,$B96,G$1+($A96-1))="",#N/A,INDEX(LOG_Calc!$A:$XFD,$B96,G$1+($A96-1)))</f>
        <v>1.1903316981702914</v>
      </c>
      <c r="H96" s="14"/>
    </row>
    <row r="97" spans="1:8" ht="12.75">
      <c r="A97" s="5">
        <f t="shared" si="18"/>
        <v>6</v>
      </c>
      <c r="B97" s="5">
        <f t="shared" si="19"/>
        <v>22</v>
      </c>
      <c r="D97" s="13">
        <f t="shared" si="20"/>
        <v>41236</v>
      </c>
      <c r="E97" s="36">
        <f t="shared" si="17"/>
        <v>623</v>
      </c>
      <c r="F97" s="14"/>
      <c r="G97" s="14">
        <f>IF(INDEX(LOG_Calc!$A:$XFD,$B97,G$1+($A97-1))="",#N/A,INDEX(LOG_Calc!$A:$XFD,$B97,G$1+($A97-1)))</f>
        <v>1.1986570869544226</v>
      </c>
      <c r="H97" s="14"/>
    </row>
    <row r="98" spans="1:8" ht="12.75">
      <c r="A98" s="5">
        <f t="shared" si="18"/>
        <v>6</v>
      </c>
      <c r="B98" s="5">
        <f t="shared" si="19"/>
        <v>23</v>
      </c>
      <c r="D98" s="13">
        <f t="shared" si="20"/>
        <v>41236</v>
      </c>
      <c r="E98" s="36">
        <f t="shared" si="17"/>
        <v>623</v>
      </c>
      <c r="F98" s="14"/>
      <c r="G98" s="14">
        <f>IF(INDEX(LOG_Calc!$A:$XFD,$B98,G$1+($A98-1))="",#N/A,INDEX(LOG_Calc!$A:$XFD,$B98,G$1+($A98-1)))</f>
        <v>1.1986570869544226</v>
      </c>
      <c r="H98" s="14"/>
    </row>
    <row r="99" spans="1:8" ht="12.75">
      <c r="A99" s="5">
        <f t="shared" si="18"/>
        <v>6</v>
      </c>
      <c r="B99" s="5">
        <f t="shared" si="19"/>
        <v>24</v>
      </c>
      <c r="D99" s="13">
        <f t="shared" si="20"/>
        <v>41236</v>
      </c>
      <c r="E99" s="36">
        <f t="shared" si="17"/>
        <v>623</v>
      </c>
      <c r="F99" s="14"/>
      <c r="G99" s="14">
        <f>IF(INDEX(LOG_Calc!$A:$XFD,$B99,G$1+($A99-1))="",#N/A,INDEX(LOG_Calc!$A:$XFD,$B99,G$1+($A99-1)))</f>
        <v>1.1958996524092338</v>
      </c>
      <c r="H99" s="14"/>
    </row>
    <row r="100" spans="4:8" ht="12.75">
      <c r="F100" s="14"/>
      <c r="G100" s="14"/>
      <c r="H100" s="14"/>
    </row>
    <row r="101" spans="1:8" ht="12.75">
      <c r="A101" s="5">
        <f>A86+1</f>
        <v>7</v>
      </c>
      <c r="B101" s="5">
        <v>11</v>
      </c>
      <c r="C101" s="5">
        <f>C86</f>
        <v>9</v>
      </c>
      <c r="D101" s="13">
        <f>INDEX(Ave_Calc!$A:$XFD,$C101,D$1+($A101-1))</f>
        <v>41356</v>
      </c>
      <c r="E101" s="36">
        <f t="shared" si="17"/>
        <v>743</v>
      </c>
      <c r="F101" s="14">
        <f>IF(INDEX(Ave_Calc!$A:$XFD,F$2+F$3,F$1+($A101-1))="",#N/A,INDEX(Ave_Calc!$A:$XFD,F$2+F$3,F$1+($A101-1)))</f>
        <v>1.134495898667941</v>
      </c>
      <c r="G101" s="14">
        <f>IF(INDEX(LOG_Calc!$A:$XFD,$B101,G$1+($A101-1))="",#N/A,INDEX(LOG_Calc!$A:$XFD,$B101,G$1+($A101-1)))</f>
        <v>1.0791812460476249</v>
      </c>
      <c r="H101" s="14"/>
    </row>
    <row r="102" spans="1:8" ht="12.75">
      <c r="A102" s="5">
        <f>A101</f>
        <v>7</v>
      </c>
      <c r="B102" s="5">
        <f>B101+1</f>
        <v>12</v>
      </c>
      <c r="D102" s="13">
        <f>D101</f>
        <v>41356</v>
      </c>
      <c r="E102" s="36">
        <f t="shared" si="17"/>
        <v>743</v>
      </c>
      <c r="F102" s="14"/>
      <c r="G102" s="14">
        <f>IF(INDEX(LOG_Calc!$A:$XFD,$B102,G$1+($A102-1))="",#N/A,INDEX(LOG_Calc!$A:$XFD,$B102,G$1+($A102-1)))</f>
        <v>1.1038037209559568</v>
      </c>
      <c r="H102" s="14"/>
    </row>
    <row r="103" spans="1:8" ht="12.75">
      <c r="A103" s="5">
        <f aca="true" t="shared" si="21" ref="A103:A114">A102</f>
        <v>7</v>
      </c>
      <c r="B103" s="5">
        <f aca="true" t="shared" si="22" ref="B103:B114">B102+1</f>
        <v>13</v>
      </c>
      <c r="D103" s="13">
        <f aca="true" t="shared" si="23" ref="D103:D114">D102</f>
        <v>41356</v>
      </c>
      <c r="E103" s="36">
        <f t="shared" si="17"/>
        <v>743</v>
      </c>
      <c r="F103" s="14"/>
      <c r="G103" s="14">
        <f>IF(INDEX(LOG_Calc!$A:$XFD,$B103,G$1+($A103-1))="",#N/A,INDEX(LOG_Calc!$A:$XFD,$B103,G$1+($A103-1)))</f>
        <v>1.1238516409670858</v>
      </c>
      <c r="H103" s="14"/>
    </row>
    <row r="104" spans="1:8" ht="12.75">
      <c r="A104" s="5">
        <f t="shared" si="21"/>
        <v>7</v>
      </c>
      <c r="B104" s="5">
        <f t="shared" si="22"/>
        <v>14</v>
      </c>
      <c r="D104" s="13">
        <f t="shared" si="23"/>
        <v>41356</v>
      </c>
      <c r="E104" s="36">
        <f t="shared" si="17"/>
        <v>743</v>
      </c>
      <c r="F104" s="14"/>
      <c r="G104" s="14">
        <f>IF(INDEX(LOG_Calc!$A:$XFD,$B104,G$1+($A104-1))="",#N/A,INDEX(LOG_Calc!$A:$XFD,$B104,G$1+($A104-1)))</f>
        <v>1.0644579892269184</v>
      </c>
      <c r="H104" s="14"/>
    </row>
    <row r="105" spans="1:8" ht="12.75">
      <c r="A105" s="5">
        <f t="shared" si="21"/>
        <v>7</v>
      </c>
      <c r="B105" s="5">
        <f t="shared" si="22"/>
        <v>15</v>
      </c>
      <c r="D105" s="13">
        <f t="shared" si="23"/>
        <v>41356</v>
      </c>
      <c r="E105" s="36">
        <f t="shared" si="17"/>
        <v>743</v>
      </c>
      <c r="F105" s="14"/>
      <c r="G105" s="14">
        <f>IF(INDEX(LOG_Calc!$A:$XFD,$B105,G$1+($A105-1))="",#N/A,INDEX(LOG_Calc!$A:$XFD,$B105,G$1+($A105-1)))</f>
        <v>1.089905111439398</v>
      </c>
      <c r="H105" s="14"/>
    </row>
    <row r="106" spans="1:8" ht="12.75">
      <c r="A106" s="5">
        <f t="shared" si="21"/>
        <v>7</v>
      </c>
      <c r="B106" s="5">
        <f t="shared" si="22"/>
        <v>16</v>
      </c>
      <c r="D106" s="13">
        <f t="shared" si="23"/>
        <v>41356</v>
      </c>
      <c r="E106" s="36">
        <f t="shared" si="17"/>
        <v>743</v>
      </c>
      <c r="F106" s="14"/>
      <c r="G106" s="14">
        <f>IF(INDEX(LOG_Calc!$A:$XFD,$B106,G$1+($A106-1))="",#N/A,INDEX(LOG_Calc!$A:$XFD,$B106,G$1+($A106-1)))</f>
        <v>1.0969100130080565</v>
      </c>
      <c r="H106" s="14"/>
    </row>
    <row r="107" spans="1:8" ht="12.75">
      <c r="A107" s="5">
        <f t="shared" si="21"/>
        <v>7</v>
      </c>
      <c r="B107" s="5">
        <f t="shared" si="22"/>
        <v>17</v>
      </c>
      <c r="D107" s="13">
        <f t="shared" si="23"/>
        <v>41356</v>
      </c>
      <c r="E107" s="36">
        <f t="shared" si="17"/>
        <v>743</v>
      </c>
      <c r="F107" s="14"/>
      <c r="G107" s="14">
        <f>IF(INDEX(LOG_Calc!$A:$XFD,$B107,G$1+($A107-1))="",#N/A,INDEX(LOG_Calc!$A:$XFD,$B107,G$1+($A107-1)))</f>
        <v>1.1139433523068367</v>
      </c>
      <c r="H107" s="14"/>
    </row>
    <row r="108" spans="1:8" ht="12.75">
      <c r="A108" s="5">
        <f t="shared" si="21"/>
        <v>7</v>
      </c>
      <c r="B108" s="5">
        <f t="shared" si="22"/>
        <v>18</v>
      </c>
      <c r="D108" s="13">
        <f t="shared" si="23"/>
        <v>41356</v>
      </c>
      <c r="E108" s="36">
        <f t="shared" si="17"/>
        <v>743</v>
      </c>
      <c r="F108" s="14"/>
      <c r="G108" s="14">
        <f>IF(INDEX(LOG_Calc!$A:$XFD,$B108,G$1+($A108-1))="",#N/A,INDEX(LOG_Calc!$A:$XFD,$B108,G$1+($A108-1)))</f>
        <v>0.9731278535996987</v>
      </c>
      <c r="H108" s="14"/>
    </row>
    <row r="109" spans="1:8" ht="12.75">
      <c r="A109" s="5">
        <f t="shared" si="21"/>
        <v>7</v>
      </c>
      <c r="B109" s="5">
        <f t="shared" si="22"/>
        <v>19</v>
      </c>
      <c r="D109" s="13">
        <f t="shared" si="23"/>
        <v>41356</v>
      </c>
      <c r="E109" s="36">
        <f t="shared" si="17"/>
        <v>743</v>
      </c>
      <c r="F109" s="14"/>
      <c r="G109" s="14">
        <f>IF(INDEX(LOG_Calc!$A:$XFD,$B109,G$1+($A109-1))="",#N/A,INDEX(LOG_Calc!$A:$XFD,$B109,G$1+($A109-1)))</f>
        <v>1.209515014542631</v>
      </c>
      <c r="H109" s="14"/>
    </row>
    <row r="110" spans="1:8" ht="12.75">
      <c r="A110" s="5">
        <f t="shared" si="21"/>
        <v>7</v>
      </c>
      <c r="B110" s="5">
        <f t="shared" si="22"/>
        <v>20</v>
      </c>
      <c r="D110" s="13">
        <f t="shared" si="23"/>
        <v>41356</v>
      </c>
      <c r="E110" s="36">
        <f t="shared" si="17"/>
        <v>743</v>
      </c>
      <c r="F110" s="14"/>
      <c r="G110" s="14">
        <f>IF(INDEX(LOG_Calc!$A:$XFD,$B110,G$1+($A110-1))="",#N/A,INDEX(LOG_Calc!$A:$XFD,$B110,G$1+($A110-1)))</f>
        <v>1.1931245983544616</v>
      </c>
      <c r="H110" s="14"/>
    </row>
    <row r="111" spans="1:8" ht="12.75">
      <c r="A111" s="5">
        <f t="shared" si="21"/>
        <v>7</v>
      </c>
      <c r="B111" s="5">
        <f t="shared" si="22"/>
        <v>21</v>
      </c>
      <c r="D111" s="13">
        <f t="shared" si="23"/>
        <v>41356</v>
      </c>
      <c r="E111" s="36">
        <f t="shared" si="17"/>
        <v>743</v>
      </c>
      <c r="F111" s="14"/>
      <c r="G111" s="14">
        <f>IF(INDEX(LOG_Calc!$A:$XFD,$B111,G$1+($A111-1))="",#N/A,INDEX(LOG_Calc!$A:$XFD,$B111,G$1+($A111-1)))</f>
        <v>1.2013971243204515</v>
      </c>
      <c r="H111" s="14"/>
    </row>
    <row r="112" spans="1:8" ht="12.75">
      <c r="A112" s="5">
        <f t="shared" si="21"/>
        <v>7</v>
      </c>
      <c r="B112" s="5">
        <f t="shared" si="22"/>
        <v>22</v>
      </c>
      <c r="D112" s="13">
        <f t="shared" si="23"/>
        <v>41356</v>
      </c>
      <c r="E112" s="36">
        <f t="shared" si="17"/>
        <v>743</v>
      </c>
      <c r="F112" s="14"/>
      <c r="G112" s="14">
        <f>IF(INDEX(LOG_Calc!$A:$XFD,$B112,G$1+($A112-1))="",#N/A,INDEX(LOG_Calc!$A:$XFD,$B112,G$1+($A112-1)))</f>
        <v>1.2148438480476977</v>
      </c>
      <c r="H112" s="14"/>
    </row>
    <row r="113" spans="1:8" ht="12.75">
      <c r="A113" s="5">
        <f t="shared" si="21"/>
        <v>7</v>
      </c>
      <c r="B113" s="5">
        <f t="shared" si="22"/>
        <v>23</v>
      </c>
      <c r="D113" s="13">
        <f t="shared" si="23"/>
        <v>41356</v>
      </c>
      <c r="E113" s="36">
        <f t="shared" si="17"/>
        <v>743</v>
      </c>
      <c r="F113" s="14"/>
      <c r="G113" s="14">
        <f>IF(INDEX(LOG_Calc!$A:$XFD,$B113,G$1+($A113-1))="",#N/A,INDEX(LOG_Calc!$A:$XFD,$B113,G$1+($A113-1)))</f>
        <v>1.2174839442139063</v>
      </c>
      <c r="H113" s="14"/>
    </row>
    <row r="114" spans="1:8" ht="12.75">
      <c r="A114" s="5">
        <f t="shared" si="21"/>
        <v>7</v>
      </c>
      <c r="B114" s="5">
        <f t="shared" si="22"/>
        <v>24</v>
      </c>
      <c r="D114" s="13">
        <f t="shared" si="23"/>
        <v>41356</v>
      </c>
      <c r="E114" s="36">
        <f t="shared" si="17"/>
        <v>743</v>
      </c>
      <c r="F114" s="14"/>
      <c r="G114" s="14">
        <f>IF(INDEX(LOG_Calc!$A:$XFD,$B114,G$1+($A114-1))="",#N/A,INDEX(LOG_Calc!$A:$XFD,$B114,G$1+($A114-1)))</f>
        <v>1.2013971243204515</v>
      </c>
      <c r="H114" s="14"/>
    </row>
    <row r="115" spans="4:8" ht="12.75">
      <c r="F115" s="14"/>
      <c r="G115" s="14"/>
      <c r="H115" s="14"/>
    </row>
    <row r="116" spans="1:8" ht="12.75">
      <c r="A116" s="5">
        <f>A101+1</f>
        <v>8</v>
      </c>
      <c r="B116" s="5">
        <v>11</v>
      </c>
      <c r="C116" s="5">
        <f>C101</f>
        <v>9</v>
      </c>
      <c r="D116" s="13">
        <f>INDEX(Ave_Calc!$A:$XFD,$C116,D$1+($A116-1))</f>
        <v>41433</v>
      </c>
      <c r="E116" s="36">
        <f t="shared" si="17"/>
        <v>820</v>
      </c>
      <c r="F116" s="14">
        <f>IF(INDEX(Ave_Calc!$A:$XFD,F$2+F$3,F$1+($A116-1))="",#N/A,INDEX(Ave_Calc!$A:$XFD,F$2+F$3,F$1+($A116-1)))</f>
        <v>1.1526719327717612</v>
      </c>
      <c r="G116" s="14">
        <f>IF(INDEX(LOG_Calc!$A:$XFD,$B116,G$1+($A116-1))="",#N/A,INDEX(LOG_Calc!$A:$XFD,$B116,G$1+($A116-1)))</f>
        <v>1.1139433523068367</v>
      </c>
      <c r="H116" s="14"/>
    </row>
    <row r="117" spans="1:8" ht="12.75">
      <c r="A117" s="5">
        <f>A116</f>
        <v>8</v>
      </c>
      <c r="B117" s="5">
        <f>B116+1</f>
        <v>12</v>
      </c>
      <c r="D117" s="13">
        <f>D116</f>
        <v>41433</v>
      </c>
      <c r="E117" s="36">
        <f t="shared" si="17"/>
        <v>820</v>
      </c>
      <c r="F117" s="14"/>
      <c r="G117" s="14">
        <f>IF(INDEX(LOG_Calc!$A:$XFD,$B117,G$1+($A117-1))="",#N/A,INDEX(LOG_Calc!$A:$XFD,$B117,G$1+($A117-1)))</f>
        <v>1.1172712956557642</v>
      </c>
      <c r="H117" s="14"/>
    </row>
    <row r="118" spans="1:8" ht="12.75">
      <c r="A118" s="5">
        <f aca="true" t="shared" si="24" ref="A118:A129">A117</f>
        <v>8</v>
      </c>
      <c r="B118" s="5">
        <f aca="true" t="shared" si="25" ref="B118:B129">B117+1</f>
        <v>13</v>
      </c>
      <c r="D118" s="13">
        <f aca="true" t="shared" si="26" ref="D118:D129">D117</f>
        <v>41433</v>
      </c>
      <c r="E118" s="36">
        <f t="shared" si="17"/>
        <v>820</v>
      </c>
      <c r="F118" s="14"/>
      <c r="G118" s="14">
        <f>IF(INDEX(LOG_Calc!$A:$XFD,$B118,G$1+($A118-1))="",#N/A,INDEX(LOG_Calc!$A:$XFD,$B118,G$1+($A118-1)))</f>
        <v>1.0253058652647702</v>
      </c>
      <c r="H118" s="14"/>
    </row>
    <row r="119" spans="1:8" ht="12.75">
      <c r="A119" s="5">
        <f t="shared" si="24"/>
        <v>8</v>
      </c>
      <c r="B119" s="5">
        <f t="shared" si="25"/>
        <v>14</v>
      </c>
      <c r="D119" s="13">
        <f t="shared" si="26"/>
        <v>41433</v>
      </c>
      <c r="E119" s="36">
        <f t="shared" si="17"/>
        <v>820</v>
      </c>
      <c r="F119" s="14"/>
      <c r="G119" s="14">
        <f>IF(INDEX(LOG_Calc!$A:$XFD,$B119,G$1+($A119-1))="",#N/A,INDEX(LOG_Calc!$A:$XFD,$B119,G$1+($A119-1)))</f>
        <v>1.1335389083702174</v>
      </c>
      <c r="H119" s="14"/>
    </row>
    <row r="120" spans="1:8" ht="12.75">
      <c r="A120" s="5">
        <f t="shared" si="24"/>
        <v>8</v>
      </c>
      <c r="B120" s="5">
        <f t="shared" si="25"/>
        <v>15</v>
      </c>
      <c r="D120" s="13">
        <f t="shared" si="26"/>
        <v>41433</v>
      </c>
      <c r="E120" s="36">
        <f t="shared" si="17"/>
        <v>820</v>
      </c>
      <c r="F120" s="14"/>
      <c r="G120" s="14">
        <f>IF(INDEX(LOG_Calc!$A:$XFD,$B120,G$1+($A120-1))="",#N/A,INDEX(LOG_Calc!$A:$XFD,$B120,G$1+($A120-1)))</f>
        <v>1.146128035678238</v>
      </c>
      <c r="H120" s="14"/>
    </row>
    <row r="121" spans="1:8" ht="12.75">
      <c r="A121" s="5">
        <f t="shared" si="24"/>
        <v>8</v>
      </c>
      <c r="B121" s="5">
        <f t="shared" si="25"/>
        <v>16</v>
      </c>
      <c r="D121" s="13">
        <f t="shared" si="26"/>
        <v>41433</v>
      </c>
      <c r="E121" s="36">
        <f t="shared" si="17"/>
        <v>820</v>
      </c>
      <c r="F121" s="14"/>
      <c r="G121" s="14">
        <f>IF(INDEX(LOG_Calc!$A:$XFD,$B121,G$1+($A121-1))="",#N/A,INDEX(LOG_Calc!$A:$XFD,$B121,G$1+($A121-1)))</f>
        <v>1.1398790864012365</v>
      </c>
      <c r="H121" s="14"/>
    </row>
    <row r="122" spans="1:8" ht="12.75">
      <c r="A122" s="5">
        <f t="shared" si="24"/>
        <v>8</v>
      </c>
      <c r="B122" s="5">
        <f t="shared" si="25"/>
        <v>17</v>
      </c>
      <c r="D122" s="13">
        <f t="shared" si="26"/>
        <v>41433</v>
      </c>
      <c r="E122" s="36">
        <f t="shared" si="17"/>
        <v>820</v>
      </c>
      <c r="F122" s="14"/>
      <c r="G122" s="14">
        <f>IF(INDEX(LOG_Calc!$A:$XFD,$B122,G$1+($A122-1))="",#N/A,INDEX(LOG_Calc!$A:$XFD,$B122,G$1+($A122-1)))</f>
        <v>1.1367205671564067</v>
      </c>
      <c r="H122" s="14"/>
    </row>
    <row r="123" spans="1:8" ht="12.75">
      <c r="A123" s="5">
        <f t="shared" si="24"/>
        <v>8</v>
      </c>
      <c r="B123" s="5">
        <f t="shared" si="25"/>
        <v>18</v>
      </c>
      <c r="D123" s="13">
        <f t="shared" si="26"/>
        <v>41433</v>
      </c>
      <c r="E123" s="36">
        <f t="shared" si="17"/>
        <v>820</v>
      </c>
      <c r="F123" s="14"/>
      <c r="G123" s="14">
        <f>IF(INDEX(LOG_Calc!$A:$XFD,$B123,G$1+($A123-1))="",#N/A,INDEX(LOG_Calc!$A:$XFD,$B123,G$1+($A123-1)))</f>
        <v>1.2278867046136734</v>
      </c>
      <c r="H123" s="14"/>
    </row>
    <row r="124" spans="1:8" ht="12.75">
      <c r="A124" s="5">
        <f t="shared" si="24"/>
        <v>8</v>
      </c>
      <c r="B124" s="5">
        <f t="shared" si="25"/>
        <v>19</v>
      </c>
      <c r="D124" s="13">
        <f t="shared" si="26"/>
        <v>41433</v>
      </c>
      <c r="E124" s="36">
        <f t="shared" si="17"/>
        <v>820</v>
      </c>
      <c r="F124" s="14"/>
      <c r="G124" s="14">
        <f>IF(INDEX(LOG_Calc!$A:$XFD,$B124,G$1+($A124-1))="",#N/A,INDEX(LOG_Calc!$A:$XFD,$B124,G$1+($A124-1)))</f>
        <v>1.24551266781415</v>
      </c>
      <c r="H124" s="14"/>
    </row>
    <row r="125" spans="1:8" ht="12.75">
      <c r="A125" s="5">
        <f t="shared" si="24"/>
        <v>8</v>
      </c>
      <c r="B125" s="5">
        <f t="shared" si="25"/>
        <v>20</v>
      </c>
      <c r="D125" s="13">
        <f t="shared" si="26"/>
        <v>41433</v>
      </c>
      <c r="E125" s="36">
        <f t="shared" si="17"/>
        <v>820</v>
      </c>
      <c r="F125" s="14"/>
      <c r="G125" s="14">
        <f>IF(INDEX(LOG_Calc!$A:$XFD,$B125,G$1+($A125-1))="",#N/A,INDEX(LOG_Calc!$A:$XFD,$B125,G$1+($A125-1)))</f>
        <v>1.1271047983648077</v>
      </c>
      <c r="H125" s="14"/>
    </row>
    <row r="126" spans="1:8" ht="12.75">
      <c r="A126" s="5">
        <f t="shared" si="24"/>
        <v>8</v>
      </c>
      <c r="B126" s="5">
        <f t="shared" si="25"/>
        <v>21</v>
      </c>
      <c r="D126" s="13">
        <f t="shared" si="26"/>
        <v>41433</v>
      </c>
      <c r="E126" s="36">
        <f t="shared" si="17"/>
        <v>820</v>
      </c>
      <c r="F126" s="14"/>
      <c r="G126" s="14">
        <f>IF(INDEX(LOG_Calc!$A:$XFD,$B126,G$1+($A126-1))="",#N/A,INDEX(LOG_Calc!$A:$XFD,$B126,G$1+($A126-1)))</f>
        <v>1.173186268412274</v>
      </c>
      <c r="H126" s="14"/>
    </row>
    <row r="127" spans="1:8" ht="12.75">
      <c r="A127" s="5">
        <f t="shared" si="24"/>
        <v>8</v>
      </c>
      <c r="B127" s="5">
        <f t="shared" si="25"/>
        <v>22</v>
      </c>
      <c r="D127" s="13">
        <f t="shared" si="26"/>
        <v>41433</v>
      </c>
      <c r="E127" s="36">
        <f t="shared" si="17"/>
        <v>820</v>
      </c>
      <c r="F127" s="14"/>
      <c r="G127" s="14">
        <f>IF(INDEX(LOG_Calc!$A:$XFD,$B127,G$1+($A127-1))="",#N/A,INDEX(LOG_Calc!$A:$XFD,$B127,G$1+($A127-1)))</f>
        <v>1.173186268412274</v>
      </c>
      <c r="H127" s="14"/>
    </row>
    <row r="128" spans="1:8" ht="12.75">
      <c r="A128" s="5">
        <f t="shared" si="24"/>
        <v>8</v>
      </c>
      <c r="B128" s="5">
        <f t="shared" si="25"/>
        <v>23</v>
      </c>
      <c r="D128" s="13">
        <f t="shared" si="26"/>
        <v>41433</v>
      </c>
      <c r="E128" s="36">
        <f t="shared" si="17"/>
        <v>820</v>
      </c>
      <c r="F128" s="14"/>
      <c r="G128" s="14">
        <f>IF(INDEX(LOG_Calc!$A:$XFD,$B128,G$1+($A128-1))="",#N/A,INDEX(LOG_Calc!$A:$XFD,$B128,G$1+($A128-1)))</f>
        <v>1.1958996524092338</v>
      </c>
      <c r="H128" s="14"/>
    </row>
    <row r="129" spans="1:8" ht="12.75">
      <c r="A129" s="5">
        <f t="shared" si="24"/>
        <v>8</v>
      </c>
      <c r="B129" s="5">
        <f t="shared" si="25"/>
        <v>24</v>
      </c>
      <c r="D129" s="13">
        <f t="shared" si="26"/>
        <v>41433</v>
      </c>
      <c r="E129" s="36">
        <f t="shared" si="17"/>
        <v>820</v>
      </c>
      <c r="F129" s="14"/>
      <c r="G129" s="14">
        <f>IF(INDEX(LOG_Calc!$A:$XFD,$B129,G$1+($A129-1))="",#N/A,INDEX(LOG_Calc!$A:$XFD,$B129,G$1+($A129-1)))</f>
        <v>1.1818435879447726</v>
      </c>
      <c r="H129" s="14"/>
    </row>
    <row r="130" spans="4:8" ht="12.75">
      <c r="F130" s="14"/>
      <c r="G130" s="14"/>
      <c r="H130" s="14"/>
    </row>
    <row r="131" spans="1:8" ht="12.75">
      <c r="A131" s="5">
        <f>A116+1</f>
        <v>9</v>
      </c>
      <c r="B131" s="5">
        <v>11</v>
      </c>
      <c r="C131" s="5">
        <f>C116</f>
        <v>9</v>
      </c>
      <c r="D131" s="13">
        <f>INDEX(Ave_Calc!$A:$XFD,$C131,D$1+($A131-1))</f>
        <v>41496</v>
      </c>
      <c r="E131" s="36">
        <f t="shared" si="17"/>
        <v>883</v>
      </c>
      <c r="F131" s="14">
        <f>IF(INDEX(Ave_Calc!$A:$XFD,F$2+F$3,F$1+($A131-1))="",#N/A,INDEX(Ave_Calc!$A:$XFD,F$2+F$3,F$1+($A131-1)))</f>
        <v>1.1096245583125683</v>
      </c>
      <c r="G131" s="14">
        <f>IF(INDEX(LOG_Calc!$A:$XFD,$B131,G$1+($A131-1))="",#N/A,INDEX(LOG_Calc!$A:$XFD,$B131,G$1+($A131-1)))</f>
        <v>1.0681858617461617</v>
      </c>
      <c r="H131" s="14"/>
    </row>
    <row r="132" spans="1:8" ht="12.75">
      <c r="A132" s="5">
        <f>A131</f>
        <v>9</v>
      </c>
      <c r="B132" s="5">
        <f>B131+1</f>
        <v>12</v>
      </c>
      <c r="D132" s="13">
        <f>D131</f>
        <v>41496</v>
      </c>
      <c r="E132" s="36">
        <f t="shared" si="17"/>
        <v>883</v>
      </c>
      <c r="F132" s="14"/>
      <c r="G132" s="14">
        <f>IF(INDEX(LOG_Calc!$A:$XFD,$B132,G$1+($A132-1))="",#N/A,INDEX(LOG_Calc!$A:$XFD,$B132,G$1+($A132-1)))</f>
        <v>1.0863598306747482</v>
      </c>
      <c r="H132" s="14"/>
    </row>
    <row r="133" spans="1:8" ht="12.75">
      <c r="A133" s="5">
        <f aca="true" t="shared" si="27" ref="A133:A144">A132</f>
        <v>9</v>
      </c>
      <c r="B133" s="5">
        <f aca="true" t="shared" si="28" ref="B133:B144">B132+1</f>
        <v>13</v>
      </c>
      <c r="D133" s="13">
        <f aca="true" t="shared" si="29" ref="D133:D144">D132</f>
        <v>41496</v>
      </c>
      <c r="E133" s="36">
        <f t="shared" si="17"/>
        <v>883</v>
      </c>
      <c r="F133" s="14"/>
      <c r="G133" s="14">
        <f>IF(INDEX(LOG_Calc!$A:$XFD,$B133,G$1+($A133-1))="",#N/A,INDEX(LOG_Calc!$A:$XFD,$B133,G$1+($A133-1)))</f>
        <v>1.0718820073061255</v>
      </c>
      <c r="H133" s="14"/>
    </row>
    <row r="134" spans="1:8" ht="12.75">
      <c r="A134" s="5">
        <f t="shared" si="27"/>
        <v>9</v>
      </c>
      <c r="B134" s="5">
        <f t="shared" si="28"/>
        <v>14</v>
      </c>
      <c r="D134" s="13">
        <f t="shared" si="29"/>
        <v>41496</v>
      </c>
      <c r="E134" s="36">
        <f t="shared" si="17"/>
        <v>883</v>
      </c>
      <c r="F134" s="14"/>
      <c r="G134" s="14">
        <f>IF(INDEX(LOG_Calc!$A:$XFD,$B134,G$1+($A134-1))="",#N/A,INDEX(LOG_Calc!$A:$XFD,$B134,G$1+($A134-1)))</f>
        <v>1.0791812460476249</v>
      </c>
      <c r="H134" s="14"/>
    </row>
    <row r="135" spans="1:8" ht="12.75">
      <c r="A135" s="5">
        <f t="shared" si="27"/>
        <v>9</v>
      </c>
      <c r="B135" s="5">
        <f t="shared" si="28"/>
        <v>15</v>
      </c>
      <c r="D135" s="13">
        <f t="shared" si="29"/>
        <v>41496</v>
      </c>
      <c r="E135" s="36">
        <f t="shared" si="17"/>
        <v>883</v>
      </c>
      <c r="F135" s="14"/>
      <c r="G135" s="14">
        <f>IF(INDEX(LOG_Calc!$A:$XFD,$B135,G$1+($A135-1))="",#N/A,INDEX(LOG_Calc!$A:$XFD,$B135,G$1+($A135-1)))</f>
        <v>1.1038037209559568</v>
      </c>
      <c r="H135" s="14"/>
    </row>
    <row r="136" spans="1:8" ht="12.75">
      <c r="A136" s="5">
        <f t="shared" si="27"/>
        <v>9</v>
      </c>
      <c r="B136" s="5">
        <f t="shared" si="28"/>
        <v>16</v>
      </c>
      <c r="D136" s="13">
        <f t="shared" si="29"/>
        <v>41496</v>
      </c>
      <c r="E136" s="36">
        <f t="shared" si="17"/>
        <v>883</v>
      </c>
      <c r="F136" s="14"/>
      <c r="G136" s="14">
        <f>IF(INDEX(LOG_Calc!$A:$XFD,$B136,G$1+($A136-1))="",#N/A,INDEX(LOG_Calc!$A:$XFD,$B136,G$1+($A136-1)))</f>
        <v>1.0791812460476249</v>
      </c>
      <c r="H136" s="14"/>
    </row>
    <row r="137" spans="1:8" ht="12.75">
      <c r="A137" s="5">
        <f t="shared" si="27"/>
        <v>9</v>
      </c>
      <c r="B137" s="5">
        <f t="shared" si="28"/>
        <v>17</v>
      </c>
      <c r="D137" s="13">
        <f t="shared" si="29"/>
        <v>41496</v>
      </c>
      <c r="E137" s="36">
        <f t="shared" si="17"/>
        <v>883</v>
      </c>
      <c r="F137" s="14"/>
      <c r="G137" s="14">
        <f>IF(INDEX(LOG_Calc!$A:$XFD,$B137,G$1+($A137-1))="",#N/A,INDEX(LOG_Calc!$A:$XFD,$B137,G$1+($A137-1)))</f>
        <v>1.0934216851622351</v>
      </c>
      <c r="H137" s="14"/>
    </row>
    <row r="138" spans="1:8" ht="12.75">
      <c r="A138" s="5">
        <f t="shared" si="27"/>
        <v>9</v>
      </c>
      <c r="B138" s="5">
        <f t="shared" si="28"/>
        <v>18</v>
      </c>
      <c r="D138" s="13">
        <f t="shared" si="29"/>
        <v>41496</v>
      </c>
      <c r="E138" s="36">
        <f t="shared" si="17"/>
        <v>883</v>
      </c>
      <c r="F138" s="14"/>
      <c r="G138" s="14">
        <f>IF(INDEX(LOG_Calc!$A:$XFD,$B138,G$1+($A138-1))="",#N/A,INDEX(LOG_Calc!$A:$XFD,$B138,G$1+($A138-1)))</f>
        <v>1.0530784434834197</v>
      </c>
      <c r="H138" s="14"/>
    </row>
    <row r="139" spans="1:8" ht="12.75">
      <c r="A139" s="5">
        <f t="shared" si="27"/>
        <v>9</v>
      </c>
      <c r="B139" s="5">
        <f t="shared" si="28"/>
        <v>19</v>
      </c>
      <c r="D139" s="13">
        <f t="shared" si="29"/>
        <v>41496</v>
      </c>
      <c r="E139" s="36">
        <f t="shared" si="17"/>
        <v>883</v>
      </c>
      <c r="F139" s="14"/>
      <c r="G139" s="14">
        <f>IF(INDEX(LOG_Calc!$A:$XFD,$B139,G$1+($A139-1))="",#N/A,INDEX(LOG_Calc!$A:$XFD,$B139,G$1+($A139-1)))</f>
        <v>1.1846914308175989</v>
      </c>
      <c r="H139" s="14"/>
    </row>
    <row r="140" spans="1:8" ht="12.75">
      <c r="A140" s="5">
        <f t="shared" si="27"/>
        <v>9</v>
      </c>
      <c r="B140" s="5">
        <f t="shared" si="28"/>
        <v>20</v>
      </c>
      <c r="D140" s="13">
        <f t="shared" si="29"/>
        <v>41496</v>
      </c>
      <c r="E140" s="36">
        <f t="shared" si="17"/>
        <v>883</v>
      </c>
      <c r="F140" s="14"/>
      <c r="G140" s="14">
        <f>IF(INDEX(LOG_Calc!$A:$XFD,$B140,G$1+($A140-1))="",#N/A,INDEX(LOG_Calc!$A:$XFD,$B140,G$1+($A140-1)))</f>
        <v>1.14921911265538</v>
      </c>
      <c r="H140" s="14"/>
    </row>
    <row r="141" spans="1:8" ht="12.75">
      <c r="A141" s="5">
        <f t="shared" si="27"/>
        <v>9</v>
      </c>
      <c r="B141" s="5">
        <f t="shared" si="28"/>
        <v>21</v>
      </c>
      <c r="D141" s="13">
        <f t="shared" si="29"/>
        <v>41496</v>
      </c>
      <c r="E141" s="36">
        <f t="shared" si="17"/>
        <v>883</v>
      </c>
      <c r="F141" s="14"/>
      <c r="G141" s="14">
        <f>IF(INDEX(LOG_Calc!$A:$XFD,$B141,G$1+($A141-1))="",#N/A,INDEX(LOG_Calc!$A:$XFD,$B141,G$1+($A141-1)))</f>
        <v>1.2648178230095364</v>
      </c>
      <c r="H141" s="14"/>
    </row>
    <row r="142" spans="1:8" ht="12.75">
      <c r="A142" s="5">
        <f t="shared" si="27"/>
        <v>9</v>
      </c>
      <c r="B142" s="5">
        <f t="shared" si="28"/>
        <v>22</v>
      </c>
      <c r="D142" s="13">
        <f t="shared" si="29"/>
        <v>41496</v>
      </c>
      <c r="E142" s="36">
        <f t="shared" si="17"/>
        <v>883</v>
      </c>
      <c r="F142" s="14"/>
      <c r="G142" s="14">
        <f>IF(INDEX(LOG_Calc!$A:$XFD,$B142,G$1+($A142-1))="",#N/A,INDEX(LOG_Calc!$A:$XFD,$B142,G$1+($A142-1)))</f>
        <v>1.110589710299249</v>
      </c>
      <c r="H142" s="14"/>
    </row>
    <row r="143" spans="1:8" ht="12.75">
      <c r="A143" s="5">
        <f t="shared" si="27"/>
        <v>9</v>
      </c>
      <c r="B143" s="5">
        <f t="shared" si="28"/>
        <v>23</v>
      </c>
      <c r="D143" s="13">
        <f t="shared" si="29"/>
        <v>41496</v>
      </c>
      <c r="E143" s="36">
        <f t="shared" si="17"/>
        <v>883</v>
      </c>
      <c r="F143" s="14"/>
      <c r="G143" s="14">
        <f>IF(INDEX(LOG_Calc!$A:$XFD,$B143,G$1+($A143-1))="",#N/A,INDEX(LOG_Calc!$A:$XFD,$B143,G$1+($A143-1)))</f>
        <v>1.0969100130080565</v>
      </c>
      <c r="H143" s="14"/>
    </row>
    <row r="144" spans="1:8" ht="12.75">
      <c r="A144" s="5">
        <f t="shared" si="27"/>
        <v>9</v>
      </c>
      <c r="B144" s="5">
        <f t="shared" si="28"/>
        <v>24</v>
      </c>
      <c r="D144" s="13">
        <f t="shared" si="29"/>
        <v>41496</v>
      </c>
      <c r="E144" s="36">
        <f t="shared" si="17"/>
        <v>883</v>
      </c>
      <c r="F144" s="14"/>
      <c r="G144" s="14">
        <f>IF(INDEX(LOG_Calc!$A:$XFD,$B144,G$1+($A144-1))="",#N/A,INDEX(LOG_Calc!$A:$XFD,$B144,G$1+($A144-1)))</f>
        <v>1.0934216851622351</v>
      </c>
      <c r="H144" s="14"/>
    </row>
    <row r="145" spans="4:8" ht="12.75">
      <c r="F145" s="14"/>
      <c r="G145" s="14"/>
      <c r="H145" s="14"/>
    </row>
    <row r="146" spans="1:8" ht="12.75">
      <c r="A146" s="5">
        <f>A131+1</f>
        <v>10</v>
      </c>
      <c r="B146" s="5">
        <v>11</v>
      </c>
      <c r="C146" s="5">
        <f>C131</f>
        <v>9</v>
      </c>
      <c r="D146" s="13">
        <f>INDEX(Ave_Calc!$A:$XFD,$C146,D$1+($A146-1))</f>
        <v>41580</v>
      </c>
      <c r="E146" s="36">
        <f t="shared" si="17"/>
        <v>967</v>
      </c>
      <c r="F146" s="14">
        <f>IF(INDEX(Ave_Calc!$A:$XFD,F$2+F$3,F$1+($A146-1))="",#N/A,INDEX(Ave_Calc!$A:$XFD,F$2+F$3,F$1+($A146-1)))</f>
        <v>1.0816779380262818</v>
      </c>
      <c r="G146" s="14">
        <f>IF(INDEX(LOG_Calc!$A:$XFD,$B146,G$1+($A146-1))="",#N/A,INDEX(LOG_Calc!$A:$XFD,$B146,G$1+($A146-1)))</f>
        <v>1.0718820073061255</v>
      </c>
      <c r="H146" s="14"/>
    </row>
    <row r="147" spans="1:8" ht="12.75">
      <c r="A147" s="5">
        <f>A146</f>
        <v>10</v>
      </c>
      <c r="B147" s="5">
        <f>B146+1</f>
        <v>12</v>
      </c>
      <c r="D147" s="13">
        <f>D146</f>
        <v>41580</v>
      </c>
      <c r="E147" s="36">
        <f t="shared" si="17"/>
        <v>967</v>
      </c>
      <c r="F147" s="14"/>
      <c r="G147" s="14">
        <f>IF(INDEX(LOG_Calc!$A:$XFD,$B147,G$1+($A147-1))="",#N/A,INDEX(LOG_Calc!$A:$XFD,$B147,G$1+($A147-1)))</f>
        <v>1.0863598306747482</v>
      </c>
      <c r="H147" s="14"/>
    </row>
    <row r="148" spans="1:8" ht="12.75">
      <c r="A148" s="5">
        <f aca="true" t="shared" si="30" ref="A148:A159">A147</f>
        <v>10</v>
      </c>
      <c r="B148" s="5">
        <f aca="true" t="shared" si="31" ref="B148:B159">B147+1</f>
        <v>13</v>
      </c>
      <c r="D148" s="13">
        <f aca="true" t="shared" si="32" ref="D148:D159">D147</f>
        <v>41580</v>
      </c>
      <c r="E148" s="36">
        <f t="shared" si="17"/>
        <v>967</v>
      </c>
      <c r="F148" s="14"/>
      <c r="G148" s="14">
        <f>IF(INDEX(LOG_Calc!$A:$XFD,$B148,G$1+($A148-1))="",#N/A,INDEX(LOG_Calc!$A:$XFD,$B148,G$1+($A148-1)))</f>
        <v>1.1038037209559568</v>
      </c>
      <c r="H148" s="14"/>
    </row>
    <row r="149" spans="1:8" ht="12.75">
      <c r="A149" s="5">
        <f t="shared" si="30"/>
        <v>10</v>
      </c>
      <c r="B149" s="5">
        <f t="shared" si="31"/>
        <v>14</v>
      </c>
      <c r="D149" s="13">
        <f t="shared" si="32"/>
        <v>41580</v>
      </c>
      <c r="E149" s="36">
        <f t="shared" si="17"/>
        <v>967</v>
      </c>
      <c r="F149" s="14"/>
      <c r="G149" s="14">
        <f>IF(INDEX(LOG_Calc!$A:$XFD,$B149,G$1+($A149-1))="",#N/A,INDEX(LOG_Calc!$A:$XFD,$B149,G$1+($A149-1)))</f>
        <v>0.9576072870600952</v>
      </c>
      <c r="H149" s="14"/>
    </row>
    <row r="150" spans="1:8" ht="12.75">
      <c r="A150" s="5">
        <f t="shared" si="30"/>
        <v>10</v>
      </c>
      <c r="B150" s="5">
        <f t="shared" si="31"/>
        <v>15</v>
      </c>
      <c r="D150" s="13">
        <f t="shared" si="32"/>
        <v>41580</v>
      </c>
      <c r="E150" s="36">
        <f aca="true" t="shared" si="33" ref="E150:E159">DATEDIF(DATE(2011,3,11),D150,"d")</f>
        <v>967</v>
      </c>
      <c r="F150" s="14"/>
      <c r="G150" s="14">
        <f>IF(INDEX(LOG_Calc!$A:$XFD,$B150,G$1+($A150-1))="",#N/A,INDEX(LOG_Calc!$A:$XFD,$B150,G$1+($A150-1)))</f>
        <v>1.1271047983648077</v>
      </c>
      <c r="H150" s="14"/>
    </row>
    <row r="151" spans="1:8" ht="12.75">
      <c r="A151" s="5">
        <f t="shared" si="30"/>
        <v>10</v>
      </c>
      <c r="B151" s="5">
        <f t="shared" si="31"/>
        <v>16</v>
      </c>
      <c r="D151" s="13">
        <f t="shared" si="32"/>
        <v>41580</v>
      </c>
      <c r="E151" s="36">
        <f t="shared" si="33"/>
        <v>967</v>
      </c>
      <c r="F151" s="14"/>
      <c r="G151" s="14">
        <f>IF(INDEX(LOG_Calc!$A:$XFD,$B151,G$1+($A151-1))="",#N/A,INDEX(LOG_Calc!$A:$XFD,$B151,G$1+($A151-1)))</f>
        <v>1.0530784434834197</v>
      </c>
      <c r="H151" s="14"/>
    </row>
    <row r="152" spans="1:8" ht="12.75">
      <c r="A152" s="5">
        <f t="shared" si="30"/>
        <v>10</v>
      </c>
      <c r="B152" s="5">
        <f t="shared" si="31"/>
        <v>17</v>
      </c>
      <c r="D152" s="13">
        <f t="shared" si="32"/>
        <v>41580</v>
      </c>
      <c r="E152" s="36">
        <f t="shared" si="33"/>
        <v>967</v>
      </c>
      <c r="F152" s="14"/>
      <c r="G152" s="14">
        <f>IF(INDEX(LOG_Calc!$A:$XFD,$B152,G$1+($A152-1))="",#N/A,INDEX(LOG_Calc!$A:$XFD,$B152,G$1+($A152-1)))</f>
        <v>1.0681858617461617</v>
      </c>
      <c r="H152" s="14"/>
    </row>
    <row r="153" spans="1:8" ht="12.75">
      <c r="A153" s="5">
        <f t="shared" si="30"/>
        <v>10</v>
      </c>
      <c r="B153" s="5">
        <f t="shared" si="31"/>
        <v>18</v>
      </c>
      <c r="D153" s="13">
        <f t="shared" si="32"/>
        <v>41580</v>
      </c>
      <c r="E153" s="36">
        <f t="shared" si="33"/>
        <v>967</v>
      </c>
      <c r="F153" s="14"/>
      <c r="G153" s="14">
        <f>IF(INDEX(LOG_Calc!$A:$XFD,$B153,G$1+($A153-1))="",#N/A,INDEX(LOG_Calc!$A:$XFD,$B153,G$1+($A153-1)))</f>
        <v>1.0086001717619175</v>
      </c>
      <c r="H153" s="14"/>
    </row>
    <row r="154" spans="1:8" ht="12.75">
      <c r="A154" s="5">
        <f t="shared" si="30"/>
        <v>10</v>
      </c>
      <c r="B154" s="5">
        <f t="shared" si="31"/>
        <v>19</v>
      </c>
      <c r="D154" s="13">
        <f t="shared" si="32"/>
        <v>41580</v>
      </c>
      <c r="E154" s="36">
        <f t="shared" si="33"/>
        <v>967</v>
      </c>
      <c r="F154" s="14"/>
      <c r="G154" s="14">
        <f>IF(INDEX(LOG_Calc!$A:$XFD,$B154,G$1+($A154-1))="",#N/A,INDEX(LOG_Calc!$A:$XFD,$B154,G$1+($A154-1)))</f>
        <v>1.1205739312058498</v>
      </c>
      <c r="H154" s="14"/>
    </row>
    <row r="155" spans="1:8" ht="12.75">
      <c r="A155" s="5">
        <f t="shared" si="30"/>
        <v>10</v>
      </c>
      <c r="B155" s="5">
        <f t="shared" si="31"/>
        <v>20</v>
      </c>
      <c r="D155" s="13">
        <f t="shared" si="32"/>
        <v>41580</v>
      </c>
      <c r="E155" s="36">
        <f t="shared" si="33"/>
        <v>967</v>
      </c>
      <c r="F155" s="14"/>
      <c r="G155" s="14">
        <f>IF(INDEX(LOG_Calc!$A:$XFD,$B155,G$1+($A155-1))="",#N/A,INDEX(LOG_Calc!$A:$XFD,$B155,G$1+($A155-1)))</f>
        <v>1.110589710299249</v>
      </c>
      <c r="H155" s="14"/>
    </row>
    <row r="156" spans="1:8" ht="12.75">
      <c r="A156" s="5">
        <f t="shared" si="30"/>
        <v>10</v>
      </c>
      <c r="B156" s="5">
        <f t="shared" si="31"/>
        <v>21</v>
      </c>
      <c r="D156" s="13">
        <f t="shared" si="32"/>
        <v>41580</v>
      </c>
      <c r="E156" s="36">
        <f t="shared" si="33"/>
        <v>967</v>
      </c>
      <c r="F156" s="14"/>
      <c r="G156" s="14">
        <f>IF(INDEX(LOG_Calc!$A:$XFD,$B156,G$1+($A156-1))="",#N/A,INDEX(LOG_Calc!$A:$XFD,$B156,G$1+($A156-1)))</f>
        <v>1.1522883443830565</v>
      </c>
      <c r="H156" s="14"/>
    </row>
    <row r="157" spans="1:8" ht="12.75">
      <c r="A157" s="5">
        <f t="shared" si="30"/>
        <v>10</v>
      </c>
      <c r="B157" s="5">
        <f t="shared" si="31"/>
        <v>22</v>
      </c>
      <c r="D157" s="13">
        <f t="shared" si="32"/>
        <v>41580</v>
      </c>
      <c r="E157" s="36">
        <f t="shared" si="33"/>
        <v>967</v>
      </c>
      <c r="F157" s="14"/>
      <c r="G157" s="14">
        <f>IF(INDEX(LOG_Calc!$A:$XFD,$B157,G$1+($A157-1))="",#N/A,INDEX(LOG_Calc!$A:$XFD,$B157,G$1+($A157-1)))</f>
        <v>1.1072099696478683</v>
      </c>
      <c r="H157" s="14"/>
    </row>
    <row r="158" spans="1:8" ht="12.75">
      <c r="A158" s="5">
        <f t="shared" si="30"/>
        <v>10</v>
      </c>
      <c r="B158" s="5">
        <f t="shared" si="31"/>
        <v>23</v>
      </c>
      <c r="D158" s="13">
        <f t="shared" si="32"/>
        <v>41580</v>
      </c>
      <c r="E158" s="36">
        <f t="shared" si="33"/>
        <v>967</v>
      </c>
      <c r="F158" s="14"/>
      <c r="G158" s="14">
        <f>IF(INDEX(LOG_Calc!$A:$XFD,$B158,G$1+($A158-1))="",#N/A,INDEX(LOG_Calc!$A:$XFD,$B158,G$1+($A158-1)))</f>
        <v>1.0934216851622351</v>
      </c>
      <c r="H158" s="14"/>
    </row>
    <row r="159" spans="1:8" ht="12.75">
      <c r="A159" s="5">
        <f t="shared" si="30"/>
        <v>10</v>
      </c>
      <c r="B159" s="5">
        <f t="shared" si="31"/>
        <v>24</v>
      </c>
      <c r="D159" s="13">
        <f t="shared" si="32"/>
        <v>41580</v>
      </c>
      <c r="E159" s="36">
        <f t="shared" si="33"/>
        <v>967</v>
      </c>
      <c r="F159" s="14"/>
      <c r="G159" s="14">
        <f>IF(INDEX(LOG_Calc!$A:$XFD,$B159,G$1+($A159-1))="",#N/A,INDEX(LOG_Calc!$A:$XFD,$B159,G$1+($A159-1)))</f>
        <v>1.08278537031645</v>
      </c>
      <c r="H159" s="14"/>
    </row>
    <row r="160" spans="4:8" ht="12.75">
      <c r="F160" s="14"/>
      <c r="G160" s="14"/>
      <c r="H160" s="14"/>
    </row>
    <row r="161" spans="3:12" ht="12.75">
      <c r="C161" s="15">
        <v>0.05</v>
      </c>
      <c r="D161" s="13">
        <v>40613</v>
      </c>
      <c r="E161" s="36">
        <f>DATEDIF(DATE(2011,3,11),D161,"d")</f>
        <v>0</v>
      </c>
      <c r="H161" s="5">
        <f>H5</f>
        <v>1.2799128314047081</v>
      </c>
      <c r="L161" s="5">
        <f>LOG(L$9)</f>
        <v>-1.3010299956639813</v>
      </c>
    </row>
    <row r="162" spans="3:12" ht="12.75">
      <c r="C162" s="15">
        <f>C161</f>
        <v>0.05</v>
      </c>
      <c r="D162" s="13">
        <f>IF('モニタリング結果'!$Y$1="印刷",Graph_Data!$D$168,Graph_Data!$D$169)</f>
        <v>41729</v>
      </c>
      <c r="E162" s="36">
        <f>DATEDIF(DATE(2011,3,11),D162,"d")</f>
        <v>1116</v>
      </c>
      <c r="H162" s="5">
        <f>H4*($D$162-$D$161)+H5</f>
        <v>1.067918347133448</v>
      </c>
      <c r="L162" s="5">
        <f>LOG(L$9)</f>
        <v>-1.3010299956639813</v>
      </c>
    </row>
    <row r="163" spans="4:8" ht="12.75">
      <c r="F163" s="14"/>
      <c r="G163" s="14"/>
      <c r="H163" s="14"/>
    </row>
    <row r="164" spans="3:13" ht="12.75">
      <c r="C164" s="5" t="s">
        <v>77</v>
      </c>
      <c r="D164" s="13"/>
      <c r="E164" s="36">
        <f>'0.05到達日'!$Q$63</f>
        <v>13586.826114414815</v>
      </c>
      <c r="M164" s="5">
        <v>5</v>
      </c>
    </row>
    <row r="165" spans="3:13" ht="12.75">
      <c r="C165" s="5" t="s">
        <v>77</v>
      </c>
      <c r="D165" s="13"/>
      <c r="E165" s="36">
        <f>'0.05到達日'!$Q$63</f>
        <v>13586.826114414815</v>
      </c>
      <c r="M165" s="5">
        <v>-5</v>
      </c>
    </row>
    <row r="166" spans="4:8" ht="12.75">
      <c r="F166" s="14"/>
      <c r="G166" s="14"/>
      <c r="H166" s="14"/>
    </row>
    <row r="167" spans="3:15" ht="12.75">
      <c r="C167" s="15"/>
      <c r="D167" s="13">
        <v>40613</v>
      </c>
      <c r="E167" s="36">
        <f>DATEDIF(DATE(2011,3,11),D167,"d")</f>
        <v>0</v>
      </c>
      <c r="N167" s="5">
        <f>LOG(N$9*(1/2)^($E167/N$8))</f>
        <v>1</v>
      </c>
      <c r="O167" s="5">
        <f>LOG(O$9*(1/2)^($E167/O$8))</f>
        <v>4.076640443670342</v>
      </c>
    </row>
    <row r="168" spans="3:15" ht="12.75">
      <c r="C168" s="15"/>
      <c r="D168" s="13">
        <v>41729</v>
      </c>
      <c r="E168" s="36">
        <f>DATEDIF(DATE(2011,3,11),D168,"d")</f>
        <v>1116</v>
      </c>
      <c r="N168" s="5">
        <f>LOG(N$9*(1/2)^($E168/N$8))</f>
        <v>0.9695118000579904</v>
      </c>
      <c r="O168" s="5">
        <f>LOG(O$9*(1/2)^($E168/O$8))</f>
        <v>-37.808665721752</v>
      </c>
    </row>
    <row r="169" spans="3:14" ht="12.75">
      <c r="C169" s="15"/>
      <c r="D169" s="13">
        <f>DATE(YEAR(D167)+ROUNDUP('0.05到達日'!S63,0),MONTH(D167),DAY(D167))</f>
        <v>54493</v>
      </c>
      <c r="E169" s="36">
        <f>DATEDIF(DATE(2011,3,11),D169,"d")</f>
        <v>13880</v>
      </c>
      <c r="N169" s="5">
        <f>LOG(N$9*(1/2)^($E169/N$8))</f>
        <v>0.6208098430151503</v>
      </c>
    </row>
    <row r="170" spans="4:8" ht="12.75">
      <c r="F170" s="14"/>
      <c r="G170" s="14"/>
      <c r="H170" s="14"/>
    </row>
    <row r="171" spans="3:16" ht="12.75">
      <c r="C171" s="15">
        <v>0.01</v>
      </c>
      <c r="D171" s="13">
        <f>$D$161</f>
        <v>40613</v>
      </c>
      <c r="E171" s="36">
        <f>DATEDIF(DATE(2011,3,11),D171,"d")</f>
        <v>0</v>
      </c>
      <c r="J171" s="5">
        <f>LOG(C171)</f>
        <v>-2</v>
      </c>
      <c r="P171" s="5">
        <f>LOG(C171)</f>
        <v>-2</v>
      </c>
    </row>
    <row r="172" spans="3:10" ht="12.75">
      <c r="C172" s="15">
        <f>C171</f>
        <v>0.01</v>
      </c>
      <c r="D172" s="13">
        <f>IF('モニタリング結果'!$Y$1="印刷",Graph_Data!$D$168,Graph_Data!$D$169)</f>
        <v>41729</v>
      </c>
      <c r="E172" s="36">
        <f>DATEDIF(DATE(2011,3,11),D172,"d")</f>
        <v>1116</v>
      </c>
      <c r="J172" s="5">
        <f>J171</f>
        <v>-2</v>
      </c>
    </row>
    <row r="173" spans="3:5" ht="12.75">
      <c r="C173" s="15"/>
      <c r="D173" s="15"/>
      <c r="E173" s="15"/>
    </row>
    <row r="174" spans="3:16" ht="12.75">
      <c r="C174" s="15">
        <f>C171+0.005</f>
        <v>0.015</v>
      </c>
      <c r="D174" s="13">
        <f>$D$161</f>
        <v>40613</v>
      </c>
      <c r="E174" s="36">
        <f>DATEDIF(DATE(2011,3,11),D174,"d")</f>
        <v>0</v>
      </c>
      <c r="K174" s="5">
        <f>LOG(C174)</f>
        <v>-1.8239087409443189</v>
      </c>
      <c r="P174" s="5">
        <f>LOG(C174)</f>
        <v>-1.8239087409443189</v>
      </c>
    </row>
    <row r="175" spans="3:11" ht="12.75">
      <c r="C175" s="15">
        <f>C174</f>
        <v>0.015</v>
      </c>
      <c r="D175" s="13">
        <f>IF('モニタリング結果'!$Y$1="印刷",Graph_Data!$D$168,Graph_Data!$D$169)</f>
        <v>41729</v>
      </c>
      <c r="E175" s="36">
        <f>DATEDIF(DATE(2011,3,11),D175,"d")</f>
        <v>1116</v>
      </c>
      <c r="K175" s="5">
        <f>LOG(C175)</f>
        <v>-1.8239087409443189</v>
      </c>
    </row>
    <row r="176" spans="3:5" ht="12.75">
      <c r="C176" s="15"/>
      <c r="D176" s="15"/>
      <c r="E176" s="15"/>
    </row>
    <row r="177" spans="3:16" ht="12.75">
      <c r="C177" s="15">
        <f>C171+0.01</f>
        <v>0.02</v>
      </c>
      <c r="D177" s="13">
        <f>$D$161</f>
        <v>40613</v>
      </c>
      <c r="E177" s="36">
        <f>DATEDIF(DATE(2011,3,11),D177,"d")</f>
        <v>0</v>
      </c>
      <c r="I177" s="5">
        <f>LOG(C177)</f>
        <v>-1.6989700043360187</v>
      </c>
      <c r="P177" s="5">
        <f>LOG(C177)</f>
        <v>-1.6989700043360187</v>
      </c>
    </row>
    <row r="178" spans="3:9" ht="12.75">
      <c r="C178" s="15">
        <f>C177</f>
        <v>0.02</v>
      </c>
      <c r="D178" s="13">
        <f>IF('モニタリング結果'!$Y$1="印刷",Graph_Data!$D$168,Graph_Data!$D$169)</f>
        <v>41729</v>
      </c>
      <c r="E178" s="36">
        <f>DATEDIF(DATE(2011,3,11),D178,"d")</f>
        <v>1116</v>
      </c>
      <c r="I178" s="5">
        <f>I177</f>
        <v>-1.6989700043360187</v>
      </c>
    </row>
    <row r="179" spans="3:5" ht="12.75">
      <c r="C179" s="15"/>
      <c r="D179" s="15"/>
      <c r="E179" s="15"/>
    </row>
    <row r="180" spans="3:16" ht="12.75">
      <c r="C180" s="15">
        <f>C177+0.01</f>
        <v>0.03</v>
      </c>
      <c r="D180" s="13">
        <f>$D$161</f>
        <v>40613</v>
      </c>
      <c r="E180" s="36">
        <f>DATEDIF(DATE(2011,3,11),D180,"d")</f>
        <v>0</v>
      </c>
      <c r="I180" s="5">
        <f>LOG(C180)</f>
        <v>-1.5228787452803376</v>
      </c>
      <c r="P180" s="5">
        <f>LOG(C180)</f>
        <v>-1.5228787452803376</v>
      </c>
    </row>
    <row r="181" spans="3:9" ht="12.75">
      <c r="C181" s="15">
        <f>C180</f>
        <v>0.03</v>
      </c>
      <c r="D181" s="13">
        <f>IF('モニタリング結果'!$Y$1="印刷",Graph_Data!$D$168,Graph_Data!$D$169)</f>
        <v>41729</v>
      </c>
      <c r="E181" s="36">
        <f>DATEDIF(DATE(2011,3,11),D181,"d")</f>
        <v>1116</v>
      </c>
      <c r="I181" s="5">
        <f>I180</f>
        <v>-1.5228787452803376</v>
      </c>
    </row>
    <row r="182" spans="3:5" ht="12.75">
      <c r="C182" s="15"/>
      <c r="D182" s="15"/>
      <c r="E182" s="36"/>
    </row>
    <row r="183" spans="3:16" ht="12.75">
      <c r="C183" s="15">
        <f>C180+0.01</f>
        <v>0.04</v>
      </c>
      <c r="D183" s="13">
        <f>$D$161</f>
        <v>40613</v>
      </c>
      <c r="E183" s="36">
        <f>DATEDIF(DATE(2011,3,11),D183,"d")</f>
        <v>0</v>
      </c>
      <c r="I183" s="5">
        <f>LOG(C183)</f>
        <v>-1.3979400086720375</v>
      </c>
      <c r="P183" s="5">
        <f>LOG(C183)</f>
        <v>-1.3979400086720375</v>
      </c>
    </row>
    <row r="184" spans="3:9" ht="12.75">
      <c r="C184" s="15">
        <f>C183</f>
        <v>0.04</v>
      </c>
      <c r="D184" s="13">
        <f>IF('モニタリング結果'!$Y$1="印刷",Graph_Data!$D$168,Graph_Data!$D$169)</f>
        <v>41729</v>
      </c>
      <c r="E184" s="36">
        <f>DATEDIF(DATE(2011,3,11),D184,"d")</f>
        <v>1116</v>
      </c>
      <c r="I184" s="5">
        <f>I183</f>
        <v>-1.3979400086720375</v>
      </c>
    </row>
    <row r="185" spans="3:5" ht="12.75">
      <c r="C185" s="15"/>
      <c r="D185" s="15"/>
      <c r="E185" s="15"/>
    </row>
    <row r="186" spans="3:16" ht="12.75">
      <c r="C186" s="15">
        <f>C183+0.01</f>
        <v>0.05</v>
      </c>
      <c r="D186" s="13">
        <f>$D$161</f>
        <v>40613</v>
      </c>
      <c r="E186" s="36">
        <f>DATEDIF(DATE(2011,3,11),D186,"d")</f>
        <v>0</v>
      </c>
      <c r="J186" s="5">
        <f>LOG(C186)</f>
        <v>-1.3010299956639813</v>
      </c>
      <c r="P186" s="5">
        <f>LOG(C186)</f>
        <v>-1.3010299956639813</v>
      </c>
    </row>
    <row r="187" spans="3:10" ht="12.75">
      <c r="C187" s="15">
        <f>C186</f>
        <v>0.05</v>
      </c>
      <c r="D187" s="13">
        <f>IF('モニタリング結果'!$Y$1="印刷",Graph_Data!$D$168,Graph_Data!$D$169)</f>
        <v>41729</v>
      </c>
      <c r="E187" s="36">
        <f>DATEDIF(DATE(2011,3,11),D187,"d")</f>
        <v>1116</v>
      </c>
      <c r="J187" s="5">
        <f>J186</f>
        <v>-1.3010299956639813</v>
      </c>
    </row>
    <row r="188" spans="3:5" ht="12.75">
      <c r="C188" s="15"/>
      <c r="D188" s="15"/>
      <c r="E188" s="15"/>
    </row>
    <row r="189" spans="3:16" ht="12.75">
      <c r="C189" s="15">
        <f>C186+0.01</f>
        <v>0.060000000000000005</v>
      </c>
      <c r="D189" s="13">
        <f>$D$161</f>
        <v>40613</v>
      </c>
      <c r="E189" s="36">
        <f>DATEDIF(DATE(2011,3,11),D189,"d")</f>
        <v>0</v>
      </c>
      <c r="I189" s="5">
        <f>LOG(C189)</f>
        <v>-1.2218487496163564</v>
      </c>
      <c r="P189" s="5">
        <f>LOG(C189)</f>
        <v>-1.2218487496163564</v>
      </c>
    </row>
    <row r="190" spans="3:9" ht="12.75">
      <c r="C190" s="15">
        <f>C189</f>
        <v>0.060000000000000005</v>
      </c>
      <c r="D190" s="13">
        <f>IF('モニタリング結果'!$Y$1="印刷",Graph_Data!$D$168,Graph_Data!$D$169)</f>
        <v>41729</v>
      </c>
      <c r="E190" s="36">
        <f>DATEDIF(DATE(2011,3,11),D190,"d")</f>
        <v>1116</v>
      </c>
      <c r="I190" s="5">
        <f>I189</f>
        <v>-1.2218487496163564</v>
      </c>
    </row>
    <row r="191" spans="3:5" ht="12.75">
      <c r="C191" s="15"/>
      <c r="D191" s="15"/>
      <c r="E191" s="15"/>
    </row>
    <row r="192" spans="3:16" ht="12.75">
      <c r="C192" s="15">
        <f>C189+0.01</f>
        <v>0.07</v>
      </c>
      <c r="D192" s="13">
        <f>$D$161</f>
        <v>40613</v>
      </c>
      <c r="E192" s="36">
        <f>DATEDIF(DATE(2011,3,11),D192,"d")</f>
        <v>0</v>
      </c>
      <c r="I192" s="5">
        <f>LOG(C192)</f>
        <v>-1.154901959985743</v>
      </c>
      <c r="P192" s="5">
        <f>LOG(C192)</f>
        <v>-1.154901959985743</v>
      </c>
    </row>
    <row r="193" spans="3:9" ht="12.75">
      <c r="C193" s="15">
        <f>C192</f>
        <v>0.07</v>
      </c>
      <c r="D193" s="13">
        <f>IF('モニタリング結果'!$Y$1="印刷",Graph_Data!$D$168,Graph_Data!$D$169)</f>
        <v>41729</v>
      </c>
      <c r="E193" s="36">
        <f>DATEDIF(DATE(2011,3,11),D193,"d")</f>
        <v>1116</v>
      </c>
      <c r="I193" s="5">
        <f>I192</f>
        <v>-1.154901959985743</v>
      </c>
    </row>
    <row r="194" spans="3:5" ht="12.75">
      <c r="C194" s="15"/>
      <c r="D194" s="15"/>
      <c r="E194" s="15"/>
    </row>
    <row r="195" spans="3:16" ht="12.75">
      <c r="C195" s="15">
        <f>C192+0.01</f>
        <v>0.08</v>
      </c>
      <c r="D195" s="13">
        <f>$D$161</f>
        <v>40613</v>
      </c>
      <c r="E195" s="36">
        <f>DATEDIF(DATE(2011,3,11),D195,"d")</f>
        <v>0</v>
      </c>
      <c r="I195" s="5">
        <f>LOG(C195)</f>
        <v>-1.0969100130080565</v>
      </c>
      <c r="P195" s="5">
        <f>LOG(C195)</f>
        <v>-1.0969100130080565</v>
      </c>
    </row>
    <row r="196" spans="3:9" ht="12.75">
      <c r="C196" s="15">
        <f>C195</f>
        <v>0.08</v>
      </c>
      <c r="D196" s="13">
        <f>IF('モニタリング結果'!$Y$1="印刷",Graph_Data!$D$168,Graph_Data!$D$169)</f>
        <v>41729</v>
      </c>
      <c r="E196" s="36">
        <f>DATEDIF(DATE(2011,3,11),D196,"d")</f>
        <v>1116</v>
      </c>
      <c r="I196" s="5">
        <f>I195</f>
        <v>-1.0969100130080565</v>
      </c>
    </row>
    <row r="197" spans="3:5" ht="12.75">
      <c r="C197" s="15"/>
      <c r="D197" s="15"/>
      <c r="E197" s="15"/>
    </row>
    <row r="198" spans="3:16" ht="12.75">
      <c r="C198" s="15">
        <f>C195+0.01</f>
        <v>0.09</v>
      </c>
      <c r="D198" s="13">
        <f>$D$161</f>
        <v>40613</v>
      </c>
      <c r="E198" s="36">
        <f>DATEDIF(DATE(2011,3,11),D198,"d")</f>
        <v>0</v>
      </c>
      <c r="I198" s="5">
        <f>LOG(C198)</f>
        <v>-1.0457574905606752</v>
      </c>
      <c r="P198" s="5">
        <f>LOG(C198)</f>
        <v>-1.0457574905606752</v>
      </c>
    </row>
    <row r="199" spans="3:9" ht="12.75">
      <c r="C199" s="15">
        <f>C198</f>
        <v>0.09</v>
      </c>
      <c r="D199" s="13">
        <f>IF('モニタリング結果'!$Y$1="印刷",Graph_Data!$D$168,Graph_Data!$D$169)</f>
        <v>41729</v>
      </c>
      <c r="E199" s="36">
        <f>DATEDIF(DATE(2011,3,11),D199,"d")</f>
        <v>1116</v>
      </c>
      <c r="I199" s="5">
        <f>I198</f>
        <v>-1.0457574905606752</v>
      </c>
    </row>
    <row r="200" spans="3:5" ht="12.75">
      <c r="C200" s="15"/>
      <c r="D200" s="15"/>
      <c r="E200" s="15"/>
    </row>
    <row r="201" spans="3:16" ht="12.75">
      <c r="C201" s="15">
        <f>C171*10</f>
        <v>0.1</v>
      </c>
      <c r="D201" s="13">
        <f>$D$161</f>
        <v>40613</v>
      </c>
      <c r="E201" s="36">
        <f>DATEDIF(DATE(2011,3,11),D201,"d")</f>
        <v>0</v>
      </c>
      <c r="J201" s="5">
        <f>LOG(C201)</f>
        <v>-1</v>
      </c>
      <c r="P201" s="5">
        <f>LOG(C201)</f>
        <v>-1</v>
      </c>
    </row>
    <row r="202" spans="3:10" ht="12.75">
      <c r="C202" s="15">
        <f>C201</f>
        <v>0.1</v>
      </c>
      <c r="D202" s="13">
        <f>IF('モニタリング結果'!$Y$1="印刷",Graph_Data!$D$168,Graph_Data!$D$169)</f>
        <v>41729</v>
      </c>
      <c r="E202" s="36">
        <f>DATEDIF(DATE(2011,3,11),D202,"d")</f>
        <v>1116</v>
      </c>
      <c r="J202" s="5">
        <f>J201</f>
        <v>-1</v>
      </c>
    </row>
    <row r="203" spans="3:5" ht="12.75">
      <c r="C203" s="15"/>
      <c r="D203" s="15"/>
      <c r="E203" s="15"/>
    </row>
    <row r="204" spans="3:16" ht="12.75">
      <c r="C204" s="15">
        <f>C174*10</f>
        <v>0.15</v>
      </c>
      <c r="D204" s="13">
        <f>$D$161</f>
        <v>40613</v>
      </c>
      <c r="E204" s="36">
        <f>DATEDIF(DATE(2011,3,11),D204,"d")</f>
        <v>0</v>
      </c>
      <c r="K204" s="5">
        <f>LOG(C204)</f>
        <v>-0.8239087409443188</v>
      </c>
      <c r="P204" s="5">
        <f>LOG(C204)</f>
        <v>-0.8239087409443188</v>
      </c>
    </row>
    <row r="205" spans="3:11" ht="12.75">
      <c r="C205" s="15">
        <f>C204</f>
        <v>0.15</v>
      </c>
      <c r="D205" s="13">
        <f>IF('モニタリング結果'!$Y$1="印刷",Graph_Data!$D$168,Graph_Data!$D$169)</f>
        <v>41729</v>
      </c>
      <c r="E205" s="36">
        <f>DATEDIF(DATE(2011,3,11),D205,"d")</f>
        <v>1116</v>
      </c>
      <c r="K205" s="5">
        <f>LOG(C205)</f>
        <v>-0.8239087409443188</v>
      </c>
    </row>
    <row r="206" spans="3:5" ht="12.75">
      <c r="C206" s="15"/>
      <c r="D206" s="15"/>
      <c r="E206" s="15"/>
    </row>
    <row r="207" spans="3:16" ht="12.75">
      <c r="C207" s="15">
        <f>C204+0.05</f>
        <v>0.2</v>
      </c>
      <c r="D207" s="13">
        <f>$D$161</f>
        <v>40613</v>
      </c>
      <c r="E207" s="36">
        <f>DATEDIF(DATE(2011,3,11),D207,"d")</f>
        <v>0</v>
      </c>
      <c r="I207" s="5">
        <f>LOG(C207)</f>
        <v>-0.6989700043360187</v>
      </c>
      <c r="P207" s="5">
        <f>LOG(C207)</f>
        <v>-0.6989700043360187</v>
      </c>
    </row>
    <row r="208" spans="3:9" ht="12.75">
      <c r="C208" s="15">
        <f>C207</f>
        <v>0.2</v>
      </c>
      <c r="D208" s="13">
        <f>IF('モニタリング結果'!$Y$1="印刷",Graph_Data!$D$168,Graph_Data!$D$169)</f>
        <v>41729</v>
      </c>
      <c r="E208" s="36">
        <f>DATEDIF(DATE(2011,3,11),D208,"d")</f>
        <v>1116</v>
      </c>
      <c r="I208" s="5">
        <f>I207</f>
        <v>-0.6989700043360187</v>
      </c>
    </row>
    <row r="209" spans="3:5" ht="12.75">
      <c r="C209" s="15"/>
      <c r="D209" s="15"/>
      <c r="E209" s="15"/>
    </row>
    <row r="210" spans="3:16" ht="12.75">
      <c r="C210" s="15">
        <f>C180*10</f>
        <v>0.3</v>
      </c>
      <c r="D210" s="13">
        <f>$D$161</f>
        <v>40613</v>
      </c>
      <c r="E210" s="36">
        <f>DATEDIF(DATE(2011,3,11),D210,"d")</f>
        <v>0</v>
      </c>
      <c r="I210" s="5">
        <f>LOG(C210)</f>
        <v>-0.5228787452803376</v>
      </c>
      <c r="P210" s="5">
        <f>LOG(C210)</f>
        <v>-0.5228787452803376</v>
      </c>
    </row>
    <row r="211" spans="3:9" ht="12.75">
      <c r="C211" s="15">
        <f>C210</f>
        <v>0.3</v>
      </c>
      <c r="D211" s="13">
        <f>IF('モニタリング結果'!$Y$1="印刷",Graph_Data!$D$168,Graph_Data!$D$169)</f>
        <v>41729</v>
      </c>
      <c r="E211" s="36">
        <f>DATEDIF(DATE(2011,3,11),D211,"d")</f>
        <v>1116</v>
      </c>
      <c r="I211" s="5">
        <f>I210</f>
        <v>-0.5228787452803376</v>
      </c>
    </row>
    <row r="212" spans="3:5" ht="12.75">
      <c r="C212" s="15"/>
      <c r="D212" s="15"/>
      <c r="E212" s="36"/>
    </row>
    <row r="213" spans="3:16" ht="12.75">
      <c r="C213" s="15">
        <f>C183*10</f>
        <v>0.4</v>
      </c>
      <c r="D213" s="13">
        <f>$D$161</f>
        <v>40613</v>
      </c>
      <c r="E213" s="36">
        <f>DATEDIF(DATE(2011,3,11),D213,"d")</f>
        <v>0</v>
      </c>
      <c r="I213" s="5">
        <f>LOG(C213)</f>
        <v>-0.3979400086720376</v>
      </c>
      <c r="P213" s="5">
        <f>LOG(C213)</f>
        <v>-0.3979400086720376</v>
      </c>
    </row>
    <row r="214" spans="3:9" ht="12.75">
      <c r="C214" s="15">
        <f>C213</f>
        <v>0.4</v>
      </c>
      <c r="D214" s="13">
        <f>IF('モニタリング結果'!$Y$1="印刷",Graph_Data!$D$168,Graph_Data!$D$169)</f>
        <v>41729</v>
      </c>
      <c r="E214" s="36">
        <f>DATEDIF(DATE(2011,3,11),D214,"d")</f>
        <v>1116</v>
      </c>
      <c r="I214" s="5">
        <f>I213</f>
        <v>-0.3979400086720376</v>
      </c>
    </row>
    <row r="215" spans="3:5" ht="12.75">
      <c r="C215" s="15"/>
      <c r="D215" s="15"/>
      <c r="E215" s="15"/>
    </row>
    <row r="216" spans="3:16" ht="12.75">
      <c r="C216" s="15">
        <f>C186*10</f>
        <v>0.5</v>
      </c>
      <c r="D216" s="13">
        <f>$D$161</f>
        <v>40613</v>
      </c>
      <c r="E216" s="36">
        <f>DATEDIF(DATE(2011,3,11),D216,"d")</f>
        <v>0</v>
      </c>
      <c r="J216" s="5">
        <f>LOG(C216)</f>
        <v>-0.3010299956639812</v>
      </c>
      <c r="P216" s="5">
        <f>LOG(C216)</f>
        <v>-0.3010299956639812</v>
      </c>
    </row>
    <row r="217" spans="3:10" ht="12.75">
      <c r="C217" s="15">
        <f>C216</f>
        <v>0.5</v>
      </c>
      <c r="D217" s="13">
        <f>IF('モニタリング結果'!$Y$1="印刷",Graph_Data!$D$168,Graph_Data!$D$169)</f>
        <v>41729</v>
      </c>
      <c r="E217" s="36">
        <f>DATEDIF(DATE(2011,3,11),D217,"d")</f>
        <v>1116</v>
      </c>
      <c r="J217" s="5">
        <f>J216</f>
        <v>-0.3010299956639812</v>
      </c>
    </row>
    <row r="218" spans="3:5" ht="12.75">
      <c r="C218" s="15"/>
      <c r="D218" s="15"/>
      <c r="E218" s="15"/>
    </row>
    <row r="219" spans="3:16" ht="12.75">
      <c r="C219" s="15">
        <f>C189*10</f>
        <v>0.6000000000000001</v>
      </c>
      <c r="D219" s="13">
        <f>$D$161</f>
        <v>40613</v>
      </c>
      <c r="E219" s="36">
        <f>DATEDIF(DATE(2011,3,11),D219,"d")</f>
        <v>0</v>
      </c>
      <c r="I219" s="5">
        <f>LOG(C219)</f>
        <v>-0.2218487496163563</v>
      </c>
      <c r="P219" s="5">
        <f>LOG(C219)</f>
        <v>-0.2218487496163563</v>
      </c>
    </row>
    <row r="220" spans="3:9" ht="12.75">
      <c r="C220" s="15">
        <f>C219</f>
        <v>0.6000000000000001</v>
      </c>
      <c r="D220" s="13">
        <f>IF('モニタリング結果'!$Y$1="印刷",Graph_Data!$D$168,Graph_Data!$D$169)</f>
        <v>41729</v>
      </c>
      <c r="E220" s="36">
        <f>DATEDIF(DATE(2011,3,11),D220,"d")</f>
        <v>1116</v>
      </c>
      <c r="I220" s="5">
        <f>I219</f>
        <v>-0.2218487496163563</v>
      </c>
    </row>
    <row r="221" spans="3:5" ht="12.75">
      <c r="C221" s="15"/>
      <c r="D221" s="15"/>
      <c r="E221" s="15"/>
    </row>
    <row r="222" spans="3:16" ht="12.75">
      <c r="C222" s="15">
        <f>C192*10</f>
        <v>0.7000000000000001</v>
      </c>
      <c r="D222" s="13">
        <f>$D$161</f>
        <v>40613</v>
      </c>
      <c r="E222" s="36">
        <f>DATEDIF(DATE(2011,3,11),D222,"d")</f>
        <v>0</v>
      </c>
      <c r="I222" s="5">
        <f>LOG(C222)</f>
        <v>-0.15490195998574313</v>
      </c>
      <c r="P222" s="5">
        <f>LOG(C222)</f>
        <v>-0.15490195998574313</v>
      </c>
    </row>
    <row r="223" spans="3:9" ht="12.75">
      <c r="C223" s="15">
        <f>C222</f>
        <v>0.7000000000000001</v>
      </c>
      <c r="D223" s="13">
        <f>IF('モニタリング結果'!$Y$1="印刷",Graph_Data!$D$168,Graph_Data!$D$169)</f>
        <v>41729</v>
      </c>
      <c r="E223" s="36">
        <f>DATEDIF(DATE(2011,3,11),D223,"d")</f>
        <v>1116</v>
      </c>
      <c r="I223" s="5">
        <f>I222</f>
        <v>-0.15490195998574313</v>
      </c>
    </row>
    <row r="224" spans="3:5" ht="12.75">
      <c r="C224" s="15"/>
      <c r="D224" s="15"/>
      <c r="E224" s="15"/>
    </row>
    <row r="225" spans="3:16" ht="12.75">
      <c r="C225" s="15">
        <f>C195*10</f>
        <v>0.8</v>
      </c>
      <c r="D225" s="13">
        <f>$D$161</f>
        <v>40613</v>
      </c>
      <c r="E225" s="36">
        <f>DATEDIF(DATE(2011,3,11),D225,"d")</f>
        <v>0</v>
      </c>
      <c r="I225" s="5">
        <f>LOG(C225)</f>
        <v>-0.09691001300805639</v>
      </c>
      <c r="P225" s="5">
        <f>LOG(C225)</f>
        <v>-0.09691001300805639</v>
      </c>
    </row>
    <row r="226" spans="3:9" ht="12.75">
      <c r="C226" s="15">
        <f>C225</f>
        <v>0.8</v>
      </c>
      <c r="D226" s="13">
        <f>IF('モニタリング結果'!$Y$1="印刷",Graph_Data!$D$168,Graph_Data!$D$169)</f>
        <v>41729</v>
      </c>
      <c r="E226" s="36">
        <f>DATEDIF(DATE(2011,3,11),D226,"d")</f>
        <v>1116</v>
      </c>
      <c r="I226" s="5">
        <f>I225</f>
        <v>-0.09691001300805639</v>
      </c>
    </row>
    <row r="227" spans="3:5" ht="12.75">
      <c r="C227" s="15"/>
      <c r="D227" s="15"/>
      <c r="E227" s="15"/>
    </row>
    <row r="228" spans="3:16" ht="12.75">
      <c r="C228" s="15">
        <f>C198*10</f>
        <v>0.8999999999999999</v>
      </c>
      <c r="D228" s="13">
        <f>$D$161</f>
        <v>40613</v>
      </c>
      <c r="E228" s="36">
        <f>DATEDIF(DATE(2011,3,11),D228,"d")</f>
        <v>0</v>
      </c>
      <c r="I228" s="5">
        <f>LOG(C228)</f>
        <v>-0.04575749056067517</v>
      </c>
      <c r="P228" s="5">
        <f>LOG(C228)</f>
        <v>-0.04575749056067517</v>
      </c>
    </row>
    <row r="229" spans="3:9" ht="12.75">
      <c r="C229" s="15">
        <f>C228</f>
        <v>0.8999999999999999</v>
      </c>
      <c r="D229" s="13">
        <f>IF('モニタリング結果'!$Y$1="印刷",Graph_Data!$D$168,Graph_Data!$D$169)</f>
        <v>41729</v>
      </c>
      <c r="E229" s="36">
        <f>DATEDIF(DATE(2011,3,11),D229,"d")</f>
        <v>1116</v>
      </c>
      <c r="I229" s="5">
        <f>I228</f>
        <v>-0.04575749056067517</v>
      </c>
    </row>
    <row r="230" spans="3:5" ht="12.75">
      <c r="C230" s="15"/>
      <c r="D230" s="15"/>
      <c r="E230" s="15"/>
    </row>
    <row r="231" spans="3:16" ht="12.75">
      <c r="C231" s="15">
        <f>C201*10</f>
        <v>1</v>
      </c>
      <c r="D231" s="13">
        <f>$D$161</f>
        <v>40613</v>
      </c>
      <c r="E231" s="36">
        <f>DATEDIF(DATE(2011,3,11),D231,"d")</f>
        <v>0</v>
      </c>
      <c r="J231" s="5">
        <f>LOG(C231)</f>
        <v>0</v>
      </c>
      <c r="P231" s="5">
        <f>LOG(C231)</f>
        <v>0</v>
      </c>
    </row>
    <row r="232" spans="3:10" ht="12.75">
      <c r="C232" s="15">
        <f>C231</f>
        <v>1</v>
      </c>
      <c r="D232" s="13">
        <f>IF('モニタリング結果'!$Y$1="印刷",Graph_Data!$D$168,Graph_Data!$D$169)</f>
        <v>41729</v>
      </c>
      <c r="E232" s="36">
        <f>DATEDIF(DATE(2011,3,11),D232,"d")</f>
        <v>1116</v>
      </c>
      <c r="J232" s="5">
        <f>J231</f>
        <v>0</v>
      </c>
    </row>
    <row r="233" spans="3:5" ht="12.75">
      <c r="C233" s="15"/>
      <c r="D233" s="15"/>
      <c r="E233" s="15"/>
    </row>
    <row r="234" spans="3:16" ht="12.75">
      <c r="C234" s="15">
        <f>C204*10</f>
        <v>1.5</v>
      </c>
      <c r="D234" s="13">
        <f>$D$161</f>
        <v>40613</v>
      </c>
      <c r="E234" s="36">
        <f>DATEDIF(DATE(2011,3,11),D234,"d")</f>
        <v>0</v>
      </c>
      <c r="K234" s="5">
        <f>LOG(C234)</f>
        <v>0.17609125905568124</v>
      </c>
      <c r="P234" s="5">
        <f>LOG(C234)</f>
        <v>0.17609125905568124</v>
      </c>
    </row>
    <row r="235" spans="3:11" ht="12.75">
      <c r="C235" s="15">
        <f>C234</f>
        <v>1.5</v>
      </c>
      <c r="D235" s="13">
        <f>IF('モニタリング結果'!$Y$1="印刷",Graph_Data!$D$168,Graph_Data!$D$169)</f>
        <v>41729</v>
      </c>
      <c r="E235" s="36">
        <f>DATEDIF(DATE(2011,3,11),D235,"d")</f>
        <v>1116</v>
      </c>
      <c r="K235" s="5">
        <f>LOG(C235)</f>
        <v>0.17609125905568124</v>
      </c>
    </row>
    <row r="236" spans="3:5" ht="12.75">
      <c r="C236" s="15"/>
      <c r="D236" s="15"/>
      <c r="E236" s="15"/>
    </row>
    <row r="237" spans="3:16" ht="12.75">
      <c r="C237" s="15">
        <f>C207*10</f>
        <v>2</v>
      </c>
      <c r="D237" s="13">
        <f>$D$161</f>
        <v>40613</v>
      </c>
      <c r="E237" s="36">
        <f>DATEDIF(DATE(2011,3,11),D237,"d")</f>
        <v>0</v>
      </c>
      <c r="I237" s="5">
        <f>LOG(C237)</f>
        <v>0.3010299956639812</v>
      </c>
      <c r="P237" s="5">
        <f>LOG(C237)</f>
        <v>0.3010299956639812</v>
      </c>
    </row>
    <row r="238" spans="3:9" ht="12.75">
      <c r="C238" s="15">
        <f>C237</f>
        <v>2</v>
      </c>
      <c r="D238" s="13">
        <f>IF('モニタリング結果'!$Y$1="印刷",Graph_Data!$D$168,Graph_Data!$D$169)</f>
        <v>41729</v>
      </c>
      <c r="E238" s="36">
        <f>DATEDIF(DATE(2011,3,11),D238,"d")</f>
        <v>1116</v>
      </c>
      <c r="I238" s="5">
        <f>I237</f>
        <v>0.3010299956639812</v>
      </c>
    </row>
    <row r="239" spans="3:5" ht="12.75">
      <c r="C239" s="15"/>
      <c r="D239" s="15"/>
      <c r="E239" s="15"/>
    </row>
    <row r="240" spans="3:16" ht="12.75">
      <c r="C240" s="15">
        <f>C210*10</f>
        <v>3</v>
      </c>
      <c r="D240" s="13">
        <f>$D$161</f>
        <v>40613</v>
      </c>
      <c r="E240" s="36">
        <f>DATEDIF(DATE(2011,3,11),D240,"d")</f>
        <v>0</v>
      </c>
      <c r="I240" s="5">
        <f>LOG(C240)</f>
        <v>0.47712125471966244</v>
      </c>
      <c r="P240" s="5">
        <f>LOG(C240)</f>
        <v>0.47712125471966244</v>
      </c>
    </row>
    <row r="241" spans="3:9" ht="12.75">
      <c r="C241" s="15">
        <f>C240</f>
        <v>3</v>
      </c>
      <c r="D241" s="13">
        <f>IF('モニタリング結果'!$Y$1="印刷",Graph_Data!$D$168,Graph_Data!$D$169)</f>
        <v>41729</v>
      </c>
      <c r="E241" s="36">
        <f>DATEDIF(DATE(2011,3,11),D241,"d")</f>
        <v>1116</v>
      </c>
      <c r="I241" s="5">
        <f>I240</f>
        <v>0.47712125471966244</v>
      </c>
    </row>
    <row r="242" spans="3:5" ht="12.75">
      <c r="C242" s="15"/>
      <c r="D242" s="15"/>
      <c r="E242" s="36"/>
    </row>
    <row r="243" spans="3:16" ht="12.75">
      <c r="C243" s="15">
        <f>C213*10</f>
        <v>4</v>
      </c>
      <c r="D243" s="13">
        <f>$D$161</f>
        <v>40613</v>
      </c>
      <c r="E243" s="36">
        <f>DATEDIF(DATE(2011,3,11),D243,"d")</f>
        <v>0</v>
      </c>
      <c r="I243" s="5">
        <f>LOG(C243)</f>
        <v>0.6020599913279624</v>
      </c>
      <c r="P243" s="5">
        <f>LOG(C243)</f>
        <v>0.6020599913279624</v>
      </c>
    </row>
    <row r="244" spans="3:9" ht="12.75">
      <c r="C244" s="15">
        <f>C243</f>
        <v>4</v>
      </c>
      <c r="D244" s="13">
        <f>IF('モニタリング結果'!$Y$1="印刷",Graph_Data!$D$168,Graph_Data!$D$169)</f>
        <v>41729</v>
      </c>
      <c r="E244" s="36">
        <f>DATEDIF(DATE(2011,3,11),D244,"d")</f>
        <v>1116</v>
      </c>
      <c r="I244" s="5">
        <f>I243</f>
        <v>0.6020599913279624</v>
      </c>
    </row>
    <row r="245" spans="3:5" ht="12.75">
      <c r="C245" s="15"/>
      <c r="D245" s="15"/>
      <c r="E245" s="15"/>
    </row>
    <row r="246" spans="3:16" ht="12.75">
      <c r="C246" s="15">
        <f>C216*10</f>
        <v>5</v>
      </c>
      <c r="D246" s="13">
        <f>$D$161</f>
        <v>40613</v>
      </c>
      <c r="E246" s="36">
        <f>DATEDIF(DATE(2011,3,11),D246,"d")</f>
        <v>0</v>
      </c>
      <c r="J246" s="5">
        <f>LOG(C246)</f>
        <v>0.6989700043360189</v>
      </c>
      <c r="P246" s="5">
        <f>LOG(C246)</f>
        <v>0.6989700043360189</v>
      </c>
    </row>
    <row r="247" spans="3:10" ht="12.75">
      <c r="C247" s="15">
        <f>C246</f>
        <v>5</v>
      </c>
      <c r="D247" s="13">
        <f>IF('モニタリング結果'!$Y$1="印刷",Graph_Data!$D$168,Graph_Data!$D$169)</f>
        <v>41729</v>
      </c>
      <c r="E247" s="36">
        <f>DATEDIF(DATE(2011,3,11),D247,"d")</f>
        <v>1116</v>
      </c>
      <c r="J247" s="5">
        <f>J246</f>
        <v>0.6989700043360189</v>
      </c>
    </row>
    <row r="248" spans="3:5" ht="12.75">
      <c r="C248" s="15"/>
      <c r="D248" s="15"/>
      <c r="E248" s="15"/>
    </row>
    <row r="249" spans="3:16" ht="12.75">
      <c r="C249" s="15">
        <f>C219*10</f>
        <v>6.000000000000001</v>
      </c>
      <c r="D249" s="13">
        <f>$D$161</f>
        <v>40613</v>
      </c>
      <c r="E249" s="36">
        <f>DATEDIF(DATE(2011,3,11),D249,"d")</f>
        <v>0</v>
      </c>
      <c r="I249" s="5">
        <f>LOG(C249)</f>
        <v>0.7781512503836437</v>
      </c>
      <c r="P249" s="5">
        <f>LOG(C249)</f>
        <v>0.7781512503836437</v>
      </c>
    </row>
    <row r="250" spans="3:9" ht="12.75">
      <c r="C250" s="15">
        <f>C249</f>
        <v>6.000000000000001</v>
      </c>
      <c r="D250" s="13">
        <f>IF('モニタリング結果'!$Y$1="印刷",Graph_Data!$D$168,Graph_Data!$D$169)</f>
        <v>41729</v>
      </c>
      <c r="E250" s="36">
        <f>DATEDIF(DATE(2011,3,11),D250,"d")</f>
        <v>1116</v>
      </c>
      <c r="I250" s="5">
        <f>I249</f>
        <v>0.7781512503836437</v>
      </c>
    </row>
    <row r="251" spans="3:5" ht="12.75">
      <c r="C251" s="15"/>
      <c r="D251" s="15"/>
      <c r="E251" s="15"/>
    </row>
    <row r="252" spans="3:16" ht="12.75">
      <c r="C252" s="15">
        <f>C222*10</f>
        <v>7.000000000000001</v>
      </c>
      <c r="D252" s="13">
        <f>$D$161</f>
        <v>40613</v>
      </c>
      <c r="E252" s="36">
        <f>DATEDIF(DATE(2011,3,11),D252,"d")</f>
        <v>0</v>
      </c>
      <c r="I252" s="5">
        <f>LOG(C252)</f>
        <v>0.8450980400142569</v>
      </c>
      <c r="P252" s="5">
        <f>LOG(C252)</f>
        <v>0.8450980400142569</v>
      </c>
    </row>
    <row r="253" spans="3:9" ht="12.75">
      <c r="C253" s="15">
        <f>C252</f>
        <v>7.000000000000001</v>
      </c>
      <c r="D253" s="13">
        <f>IF('モニタリング結果'!$Y$1="印刷",Graph_Data!$D$168,Graph_Data!$D$169)</f>
        <v>41729</v>
      </c>
      <c r="E253" s="36">
        <f>DATEDIF(DATE(2011,3,11),D253,"d")</f>
        <v>1116</v>
      </c>
      <c r="I253" s="5">
        <f>I252</f>
        <v>0.8450980400142569</v>
      </c>
    </row>
    <row r="254" spans="3:5" ht="12.75">
      <c r="C254" s="15"/>
      <c r="D254" s="15"/>
      <c r="E254" s="15"/>
    </row>
    <row r="255" spans="3:16" ht="12.75">
      <c r="C255" s="15">
        <f>C225*10</f>
        <v>8</v>
      </c>
      <c r="D255" s="13">
        <f>$D$161</f>
        <v>40613</v>
      </c>
      <c r="E255" s="36">
        <f>DATEDIF(DATE(2011,3,11),D255,"d")</f>
        <v>0</v>
      </c>
      <c r="I255" s="5">
        <f>LOG(C255)</f>
        <v>0.9030899869919435</v>
      </c>
      <c r="P255" s="5">
        <f>LOG(C255)</f>
        <v>0.9030899869919435</v>
      </c>
    </row>
    <row r="256" spans="3:9" ht="12.75">
      <c r="C256" s="15">
        <f>C255</f>
        <v>8</v>
      </c>
      <c r="D256" s="13">
        <f>IF('モニタリング結果'!$Y$1="印刷",Graph_Data!$D$168,Graph_Data!$D$169)</f>
        <v>41729</v>
      </c>
      <c r="E256" s="36">
        <f>DATEDIF(DATE(2011,3,11),D256,"d")</f>
        <v>1116</v>
      </c>
      <c r="I256" s="5">
        <f>I255</f>
        <v>0.9030899869919435</v>
      </c>
    </row>
    <row r="257" spans="3:5" ht="12.75">
      <c r="C257" s="15"/>
      <c r="D257" s="15"/>
      <c r="E257" s="15"/>
    </row>
    <row r="258" spans="3:16" ht="12.75">
      <c r="C258" s="15">
        <f>C228*10</f>
        <v>9</v>
      </c>
      <c r="D258" s="13">
        <f>$D$161</f>
        <v>40613</v>
      </c>
      <c r="E258" s="36">
        <f>DATEDIF(DATE(2011,3,11),D258,"d")</f>
        <v>0</v>
      </c>
      <c r="I258" s="5">
        <f>LOG(C258)</f>
        <v>0.9542425094393249</v>
      </c>
      <c r="P258" s="5">
        <f>LOG(C258)</f>
        <v>0.9542425094393249</v>
      </c>
    </row>
    <row r="259" spans="3:9" ht="12.75">
      <c r="C259" s="15">
        <f>C258</f>
        <v>9</v>
      </c>
      <c r="D259" s="13">
        <f>IF('モニタリング結果'!$Y$1="印刷",Graph_Data!$D$168,Graph_Data!$D$169)</f>
        <v>41729</v>
      </c>
      <c r="E259" s="36">
        <f>DATEDIF(DATE(2011,3,11),D259,"d")</f>
        <v>1116</v>
      </c>
      <c r="I259" s="5">
        <f>I258</f>
        <v>0.9542425094393249</v>
      </c>
    </row>
    <row r="260" spans="3:5" ht="12.75">
      <c r="C260" s="15"/>
      <c r="D260" s="15"/>
      <c r="E260" s="15"/>
    </row>
    <row r="261" spans="3:16" ht="12.75">
      <c r="C261" s="15">
        <f>C231*10</f>
        <v>10</v>
      </c>
      <c r="D261" s="13">
        <f>$D$161</f>
        <v>40613</v>
      </c>
      <c r="E261" s="36">
        <f>DATEDIF(DATE(2011,3,11),D261,"d")</f>
        <v>0</v>
      </c>
      <c r="J261" s="5">
        <f>LOG(C261)</f>
        <v>1</v>
      </c>
      <c r="P261" s="5">
        <f>LOG(C261)</f>
        <v>1</v>
      </c>
    </row>
    <row r="262" spans="3:10" ht="12.75">
      <c r="C262" s="15">
        <f>C261</f>
        <v>10</v>
      </c>
      <c r="D262" s="13">
        <f>IF('モニタリング結果'!$Y$1="印刷",Graph_Data!$D$168,Graph_Data!$D$169)</f>
        <v>41729</v>
      </c>
      <c r="E262" s="36">
        <f>DATEDIF(DATE(2011,3,11),D262,"d")</f>
        <v>1116</v>
      </c>
      <c r="J262" s="5">
        <f>J261</f>
        <v>1</v>
      </c>
    </row>
    <row r="263" spans="3:5" ht="12.75">
      <c r="C263" s="15"/>
      <c r="D263" s="15"/>
      <c r="E263" s="15"/>
    </row>
    <row r="264" spans="3:16" ht="12.75">
      <c r="C264" s="15">
        <f>C234*10</f>
        <v>15</v>
      </c>
      <c r="D264" s="13">
        <f>$D$161</f>
        <v>40613</v>
      </c>
      <c r="E264" s="36">
        <f>DATEDIF(DATE(2011,3,11),D264,"d")</f>
        <v>0</v>
      </c>
      <c r="K264" s="5">
        <f>LOG(C264)</f>
        <v>1.1760912590556813</v>
      </c>
      <c r="P264" s="5">
        <f>LOG(C264)</f>
        <v>1.1760912590556813</v>
      </c>
    </row>
    <row r="265" spans="3:11" ht="12.75">
      <c r="C265" s="15">
        <f>C264</f>
        <v>15</v>
      </c>
      <c r="D265" s="13">
        <f>IF('モニタリング結果'!$Y$1="印刷",Graph_Data!$D$168,Graph_Data!$D$169)</f>
        <v>41729</v>
      </c>
      <c r="E265" s="36">
        <f>DATEDIF(DATE(2011,3,11),D265,"d")</f>
        <v>1116</v>
      </c>
      <c r="K265" s="5">
        <f>LOG(C265)</f>
        <v>1.1760912590556813</v>
      </c>
    </row>
    <row r="266" spans="3:5" ht="12.75">
      <c r="C266" s="15"/>
      <c r="D266" s="15"/>
      <c r="E266" s="15"/>
    </row>
    <row r="267" spans="3:16" ht="12.75">
      <c r="C267" s="15">
        <f>C237*10</f>
        <v>20</v>
      </c>
      <c r="D267" s="13">
        <f>$D$161</f>
        <v>40613</v>
      </c>
      <c r="E267" s="36">
        <f>DATEDIF(DATE(2011,3,11),D267,"d")</f>
        <v>0</v>
      </c>
      <c r="I267" s="5">
        <f>LOG(C267)</f>
        <v>1.3010299956639813</v>
      </c>
      <c r="P267" s="5">
        <f>LOG(C267)</f>
        <v>1.3010299956639813</v>
      </c>
    </row>
    <row r="268" spans="3:9" ht="12.75">
      <c r="C268" s="15">
        <f>C267</f>
        <v>20</v>
      </c>
      <c r="D268" s="13">
        <f>IF('モニタリング結果'!$Y$1="印刷",Graph_Data!$D$168,Graph_Data!$D$169)</f>
        <v>41729</v>
      </c>
      <c r="E268" s="36">
        <f>DATEDIF(DATE(2011,3,11),D268,"d")</f>
        <v>1116</v>
      </c>
      <c r="I268" s="5">
        <f>I267</f>
        <v>1.3010299956639813</v>
      </c>
    </row>
    <row r="269" spans="3:5" ht="12.75">
      <c r="C269" s="15"/>
      <c r="D269" s="15"/>
      <c r="E269" s="15"/>
    </row>
    <row r="270" spans="3:16" ht="12.75">
      <c r="C270" s="15">
        <f>C240*10</f>
        <v>30</v>
      </c>
      <c r="D270" s="13">
        <f>$D$161</f>
        <v>40613</v>
      </c>
      <c r="E270" s="36">
        <f>DATEDIF(DATE(2011,3,11),D270,"d")</f>
        <v>0</v>
      </c>
      <c r="I270" s="5">
        <f>LOG(C270)</f>
        <v>1.4771212547196624</v>
      </c>
      <c r="P270" s="5">
        <f>LOG(C270)</f>
        <v>1.4771212547196624</v>
      </c>
    </row>
    <row r="271" spans="3:9" ht="12.75">
      <c r="C271" s="15">
        <f>C270</f>
        <v>30</v>
      </c>
      <c r="D271" s="13">
        <f>IF('モニタリング結果'!$Y$1="印刷",Graph_Data!$D$168,Graph_Data!$D$169)</f>
        <v>41729</v>
      </c>
      <c r="E271" s="36">
        <f>DATEDIF(DATE(2011,3,11),D271,"d")</f>
        <v>1116</v>
      </c>
      <c r="I271" s="5">
        <f>I270</f>
        <v>1.4771212547196624</v>
      </c>
    </row>
    <row r="272" spans="3:5" ht="12.75">
      <c r="C272" s="15"/>
      <c r="D272" s="15"/>
      <c r="E272" s="36"/>
    </row>
    <row r="273" spans="3:16" ht="12.75">
      <c r="C273" s="15">
        <f>C243*10</f>
        <v>40</v>
      </c>
      <c r="D273" s="13">
        <f>$D$161</f>
        <v>40613</v>
      </c>
      <c r="E273" s="36">
        <f>DATEDIF(DATE(2011,3,11),D273,"d")</f>
        <v>0</v>
      </c>
      <c r="I273" s="5">
        <f>LOG(C273)</f>
        <v>1.6020599913279623</v>
      </c>
      <c r="P273" s="5">
        <f>LOG(C273)</f>
        <v>1.6020599913279623</v>
      </c>
    </row>
    <row r="274" spans="3:9" ht="12.75">
      <c r="C274" s="15">
        <f>C273</f>
        <v>40</v>
      </c>
      <c r="D274" s="13">
        <f>IF('モニタリング結果'!$Y$1="印刷",Graph_Data!$D$168,Graph_Data!$D$169)</f>
        <v>41729</v>
      </c>
      <c r="E274" s="36">
        <f>DATEDIF(DATE(2011,3,11),D274,"d")</f>
        <v>1116</v>
      </c>
      <c r="I274" s="5">
        <f>I273</f>
        <v>1.6020599913279623</v>
      </c>
    </row>
    <row r="275" spans="3:5" ht="12.75">
      <c r="C275" s="15"/>
      <c r="D275" s="15"/>
      <c r="E275" s="15"/>
    </row>
    <row r="276" spans="3:16" ht="12.75">
      <c r="C276" s="15">
        <f>C246*10</f>
        <v>50</v>
      </c>
      <c r="D276" s="13">
        <f>$D$161</f>
        <v>40613</v>
      </c>
      <c r="E276" s="36">
        <f>DATEDIF(DATE(2011,3,11),D276,"d")</f>
        <v>0</v>
      </c>
      <c r="J276" s="5">
        <f>LOG(C276)</f>
        <v>1.6989700043360187</v>
      </c>
      <c r="P276" s="5">
        <f>LOG(C276)</f>
        <v>1.6989700043360187</v>
      </c>
    </row>
    <row r="277" spans="3:10" ht="12.75">
      <c r="C277" s="15">
        <f>C276</f>
        <v>50</v>
      </c>
      <c r="D277" s="13">
        <f>IF('モニタリング結果'!$Y$1="印刷",Graph_Data!$D$168,Graph_Data!$D$169)</f>
        <v>41729</v>
      </c>
      <c r="E277" s="36">
        <f>DATEDIF(DATE(2011,3,11),D277,"d")</f>
        <v>1116</v>
      </c>
      <c r="J277" s="5">
        <f>J276</f>
        <v>1.6989700043360187</v>
      </c>
    </row>
    <row r="278" spans="3:5" ht="12.75">
      <c r="C278" s="15"/>
      <c r="D278" s="15"/>
      <c r="E278" s="15"/>
    </row>
    <row r="279" spans="3:16" ht="12.75">
      <c r="C279" s="15">
        <f>C249*10</f>
        <v>60.00000000000001</v>
      </c>
      <c r="D279" s="13">
        <f>$D$161</f>
        <v>40613</v>
      </c>
      <c r="E279" s="36">
        <f>DATEDIF(DATE(2011,3,11),D279,"d")</f>
        <v>0</v>
      </c>
      <c r="I279" s="5">
        <f>LOG(C279)</f>
        <v>1.7781512503836436</v>
      </c>
      <c r="P279" s="5">
        <f>LOG(C279)</f>
        <v>1.7781512503836436</v>
      </c>
    </row>
    <row r="280" spans="3:9" ht="12.75">
      <c r="C280" s="15">
        <f>C279</f>
        <v>60.00000000000001</v>
      </c>
      <c r="D280" s="13">
        <f>IF('モニタリング結果'!$Y$1="印刷",Graph_Data!$D$168,Graph_Data!$D$169)</f>
        <v>41729</v>
      </c>
      <c r="E280" s="36">
        <f>DATEDIF(DATE(2011,3,11),D280,"d")</f>
        <v>1116</v>
      </c>
      <c r="I280" s="5">
        <f>I279</f>
        <v>1.7781512503836436</v>
      </c>
    </row>
    <row r="281" spans="3:5" ht="12.75">
      <c r="C281" s="15"/>
      <c r="D281" s="15"/>
      <c r="E281" s="15"/>
    </row>
    <row r="282" spans="3:16" ht="12.75">
      <c r="C282" s="15">
        <f>C252*10</f>
        <v>70.00000000000001</v>
      </c>
      <c r="D282" s="13">
        <f>$D$161</f>
        <v>40613</v>
      </c>
      <c r="E282" s="36">
        <f>DATEDIF(DATE(2011,3,11),D282,"d")</f>
        <v>0</v>
      </c>
      <c r="I282" s="5">
        <f>LOG(C282)</f>
        <v>1.845098040014257</v>
      </c>
      <c r="P282" s="5">
        <f>LOG(C282)</f>
        <v>1.845098040014257</v>
      </c>
    </row>
    <row r="283" spans="3:9" ht="12.75">
      <c r="C283" s="15">
        <f>C282</f>
        <v>70.00000000000001</v>
      </c>
      <c r="D283" s="13">
        <f>IF('モニタリング結果'!$Y$1="印刷",Graph_Data!$D$168,Graph_Data!$D$169)</f>
        <v>41729</v>
      </c>
      <c r="E283" s="36">
        <f>DATEDIF(DATE(2011,3,11),D283,"d")</f>
        <v>1116</v>
      </c>
      <c r="I283" s="5">
        <f>I282</f>
        <v>1.845098040014257</v>
      </c>
    </row>
    <row r="284" spans="3:5" ht="12.75">
      <c r="C284" s="15"/>
      <c r="D284" s="15"/>
      <c r="E284" s="15"/>
    </row>
    <row r="285" spans="3:16" ht="12.75">
      <c r="C285" s="15">
        <f>C255*10</f>
        <v>80</v>
      </c>
      <c r="D285" s="13">
        <f>$D$161</f>
        <v>40613</v>
      </c>
      <c r="E285" s="36">
        <f>DATEDIF(DATE(2011,3,11),D285,"d")</f>
        <v>0</v>
      </c>
      <c r="I285" s="5">
        <f>LOG(C285)</f>
        <v>1.9030899869919435</v>
      </c>
      <c r="P285" s="5">
        <f>LOG(C285)</f>
        <v>1.9030899869919435</v>
      </c>
    </row>
    <row r="286" spans="3:9" ht="12.75">
      <c r="C286" s="15">
        <f>C285</f>
        <v>80</v>
      </c>
      <c r="D286" s="13">
        <f>IF('モニタリング結果'!$Y$1="印刷",Graph_Data!$D$168,Graph_Data!$D$169)</f>
        <v>41729</v>
      </c>
      <c r="E286" s="36">
        <f>DATEDIF(DATE(2011,3,11),D286,"d")</f>
        <v>1116</v>
      </c>
      <c r="I286" s="5">
        <f>I285</f>
        <v>1.9030899869919435</v>
      </c>
    </row>
    <row r="287" spans="3:5" ht="12.75">
      <c r="C287" s="15"/>
      <c r="D287" s="15"/>
      <c r="E287" s="15"/>
    </row>
    <row r="288" spans="3:16" ht="12.75">
      <c r="C288" s="15">
        <f>C258*10</f>
        <v>90</v>
      </c>
      <c r="D288" s="13">
        <f>$D$161</f>
        <v>40613</v>
      </c>
      <c r="E288" s="36">
        <f>DATEDIF(DATE(2011,3,11),D288,"d")</f>
        <v>0</v>
      </c>
      <c r="I288" s="5">
        <f>LOG(C288)</f>
        <v>1.954242509439325</v>
      </c>
      <c r="P288" s="5">
        <f>LOG(C288)</f>
        <v>1.954242509439325</v>
      </c>
    </row>
    <row r="289" spans="3:9" ht="12.75">
      <c r="C289" s="15">
        <f>C288</f>
        <v>90</v>
      </c>
      <c r="D289" s="13">
        <f>IF('モニタリング結果'!$Y$1="印刷",Graph_Data!$D$168,Graph_Data!$D$169)</f>
        <v>41729</v>
      </c>
      <c r="E289" s="36">
        <f>DATEDIF(DATE(2011,3,11),D289,"d")</f>
        <v>1116</v>
      </c>
      <c r="I289" s="5">
        <f>I288</f>
        <v>1.954242509439325</v>
      </c>
    </row>
    <row r="290" spans="3:5" ht="12.75">
      <c r="C290" s="15"/>
      <c r="D290" s="15"/>
      <c r="E290" s="15"/>
    </row>
    <row r="291" spans="3:16" ht="12.75">
      <c r="C291" s="15">
        <f>C261*10</f>
        <v>100</v>
      </c>
      <c r="D291" s="13">
        <f>$D$161</f>
        <v>40613</v>
      </c>
      <c r="E291" s="36">
        <f>DATEDIF(DATE(2011,3,11),D291,"d")</f>
        <v>0</v>
      </c>
      <c r="J291" s="5">
        <f>LOG(C291)</f>
        <v>2</v>
      </c>
      <c r="P291" s="5">
        <f>LOG(C291)</f>
        <v>2</v>
      </c>
    </row>
    <row r="292" spans="3:10" ht="12.75">
      <c r="C292" s="15">
        <f>C291</f>
        <v>100</v>
      </c>
      <c r="D292" s="13">
        <f>IF('モニタリング結果'!$Y$1="印刷",Graph_Data!$D$168,Graph_Data!$D$169)</f>
        <v>41729</v>
      </c>
      <c r="E292" s="36">
        <f>DATEDIF(DATE(2011,3,11),D292,"d")</f>
        <v>1116</v>
      </c>
      <c r="J292" s="5">
        <f>J291</f>
        <v>2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Aerocrart Japan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S_Hashimoto</dc:creator>
  <cp:keywords/>
  <dc:description/>
  <cp:lastModifiedBy>S_Hashimoto</cp:lastModifiedBy>
  <cp:lastPrinted>2013-12-02T01:46:23Z</cp:lastPrinted>
  <dcterms:created xsi:type="dcterms:W3CDTF">2011-08-03T13:54:30Z</dcterms:created>
  <dcterms:modified xsi:type="dcterms:W3CDTF">2013-12-02T01:47:05Z</dcterms:modified>
  <cp:category/>
  <cp:version/>
  <cp:contentType/>
  <cp:contentStatus/>
</cp:coreProperties>
</file>