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05" tabRatio="773" activeTab="0"/>
  </bookViews>
  <sheets>
    <sheet name="モニタリング結果" sheetId="1" r:id="rId1"/>
    <sheet name="0.05到達日" sheetId="2" r:id="rId2"/>
    <sheet name="測定結果" sheetId="3" r:id="rId3"/>
    <sheet name="LOG_Calc" sheetId="4" r:id="rId4"/>
    <sheet name="Ave_Calc" sheetId="5" r:id="rId5"/>
    <sheet name="Graph_Data" sheetId="6" r:id="rId6"/>
  </sheets>
  <definedNames>
    <definedName name="_1cm_1">#REF!</definedName>
    <definedName name="_1cm_2">#REF!</definedName>
    <definedName name="_1cm_3">#REF!</definedName>
    <definedName name="_1m_1">#REF!</definedName>
    <definedName name="_1m_2">#REF!</definedName>
    <definedName name="_1m_3">#REF!</definedName>
    <definedName name="_2m_1">#REF!</definedName>
    <definedName name="_2m_2">#REF!</definedName>
    <definedName name="_2m_3">#REF!</definedName>
    <definedName name="_xlnm.Print_Area" localSheetId="1">'0.05到達日'!$A$3:$X$59</definedName>
    <definedName name="_xlnm.Print_Area" localSheetId="0">'モニタリング結果'!$A$3:$X$59</definedName>
    <definedName name="画像1">INDIRECT('モニタリング結果'!$Y$26)</definedName>
    <definedName name="画像2">INDIRECT('モニタリング結果'!$Y$54)</definedName>
    <definedName name="画像3">INDIRECT('モニタリング結果'!$Y$38)</definedName>
  </definedNames>
  <calcPr fullCalcOnLoad="1"/>
</workbook>
</file>

<file path=xl/sharedStrings.xml><?xml version="1.0" encoding="utf-8"?>
<sst xmlns="http://schemas.openxmlformats.org/spreadsheetml/2006/main" count="388" uniqueCount="138">
  <si>
    <t>1cm</t>
  </si>
  <si>
    <t>地点名</t>
  </si>
  <si>
    <t>備考</t>
  </si>
  <si>
    <t>測定日</t>
  </si>
  <si>
    <t>測定時間</t>
  </si>
  <si>
    <t>測定器</t>
  </si>
  <si>
    <t>測定点</t>
  </si>
  <si>
    <t>測定者</t>
  </si>
  <si>
    <t>測定地区</t>
  </si>
  <si>
    <t>記録作成</t>
  </si>
  <si>
    <t>測定区分</t>
  </si>
  <si>
    <t>最大値設定</t>
  </si>
  <si>
    <t>測定器1</t>
  </si>
  <si>
    <t>測定時間</t>
  </si>
  <si>
    <t>記録作成</t>
  </si>
  <si>
    <t>測定点</t>
  </si>
  <si>
    <t>測定器2</t>
  </si>
  <si>
    <t>測定日</t>
  </si>
  <si>
    <t>測定者</t>
  </si>
  <si>
    <t>No.</t>
  </si>
  <si>
    <t>Y軸</t>
  </si>
  <si>
    <t>X軸</t>
  </si>
  <si>
    <t>コメント</t>
  </si>
  <si>
    <t>Polimaster PM-1610</t>
  </si>
  <si>
    <t xml:space="preserve"> 10:40～12:50</t>
  </si>
  <si>
    <t>2回目</t>
  </si>
  <si>
    <t>1cm</t>
  </si>
  <si>
    <t>1m</t>
  </si>
  <si>
    <t>2m</t>
  </si>
  <si>
    <t>1m</t>
  </si>
  <si>
    <t>2m</t>
  </si>
  <si>
    <t>①1階・2階の天井・壁・
 　床に雨漏り跡がある。
②雨漏り時の重量増加
 　のためか、天井が一
 　部落下している。
③1階台所天井部
 　(No.10)の線量率が高
 　い原因は、天井部の
 　雨漏り跡がなってい
 　る。</t>
  </si>
  <si>
    <t xml:space="preserve"> 11:20～11:40</t>
  </si>
  <si>
    <t>3回目</t>
  </si>
  <si>
    <t>きなやん宅1階/2階</t>
  </si>
  <si>
    <t>きなやん、ゆーみん</t>
  </si>
  <si>
    <t>xls-hashimoto</t>
  </si>
  <si>
    <t>きなやん</t>
  </si>
  <si>
    <t>大熊町一時立入時放射線モニタリング結果（きなやん宅）</t>
  </si>
  <si>
    <t xml:space="preserve"> 11:20～11:40</t>
  </si>
  <si>
    <t>きなやん</t>
  </si>
  <si>
    <t>①3月と比べて天井の
 　落ちている量が約2倍
 　になっている。
②そして、落下材は腐っ
 　ている。
 　（3月よりひどい）
③カビは大きく広がり
 　壁一面真っ黒。
④前日の雨のためか
 　電灯ヒモから水滴
 　落下。（ポタポタ）
⑤雑感　家全体が腐っ
 　ている。
 　カビさんの天下！
⑥道路でケムシが
 　横断中。
 　放射能の世界にも
 　四季があった。</t>
  </si>
  <si>
    <t>4回目</t>
  </si>
  <si>
    <t>１階</t>
  </si>
  <si>
    <t>２階</t>
  </si>
  <si>
    <t>測定結果</t>
  </si>
  <si>
    <t>LOG_Calc</t>
  </si>
  <si>
    <t>前回からの経過日数</t>
  </si>
  <si>
    <t>１回目からの経過日数</t>
  </si>
  <si>
    <t>2011年3月11日からの経過日数</t>
  </si>
  <si>
    <t>測定日</t>
  </si>
  <si>
    <t>開始行</t>
  </si>
  <si>
    <t>データ数</t>
  </si>
  <si>
    <t>終了行</t>
  </si>
  <si>
    <t>シート名</t>
  </si>
  <si>
    <t>算術最大値</t>
  </si>
  <si>
    <t>算術最小値</t>
  </si>
  <si>
    <t>算術平均</t>
  </si>
  <si>
    <t>算術平均(積雪を除く)</t>
  </si>
  <si>
    <t>算術標準偏差</t>
  </si>
  <si>
    <t>LOG最大値</t>
  </si>
  <si>
    <t>LOG最小値</t>
  </si>
  <si>
    <t>LOG平均</t>
  </si>
  <si>
    <t>LOG平均(積雪を除く)</t>
  </si>
  <si>
    <t>LOG標準偏差</t>
  </si>
  <si>
    <t>幾何平均(10^LOG平均)</t>
  </si>
  <si>
    <t>幾何標準偏差(10^LOG標準偏差)</t>
  </si>
  <si>
    <t>幾何平均(10^LOG平均積雪を除く)</t>
  </si>
  <si>
    <t>近似直線</t>
  </si>
  <si>
    <t>傾き</t>
  </si>
  <si>
    <t>切片</t>
  </si>
  <si>
    <t>R2</t>
  </si>
  <si>
    <t>幾何平均(10^LOG平均除積雪)</t>
  </si>
  <si>
    <t>階</t>
  </si>
  <si>
    <t>測定高さ</t>
  </si>
  <si>
    <t>列</t>
  </si>
  <si>
    <t>行</t>
  </si>
  <si>
    <t>傾き</t>
  </si>
  <si>
    <t>切片</t>
  </si>
  <si>
    <t>R2</t>
  </si>
  <si>
    <t>補助目盛</t>
  </si>
  <si>
    <t>目盛</t>
  </si>
  <si>
    <t>補助目盛1.5</t>
  </si>
  <si>
    <t>行_測定日</t>
  </si>
  <si>
    <t>測定日</t>
  </si>
  <si>
    <t>10^LOG平均</t>
  </si>
  <si>
    <t>1cm</t>
  </si>
  <si>
    <t>1m</t>
  </si>
  <si>
    <t>2m</t>
  </si>
  <si>
    <t>全階</t>
  </si>
  <si>
    <t>実効半減期</t>
  </si>
  <si>
    <t>最  大  値</t>
  </si>
  <si>
    <t>最  小  値</t>
  </si>
  <si>
    <t>幾何平均値</t>
  </si>
  <si>
    <t>幾何標準偏差</t>
  </si>
  <si>
    <r>
      <t>2</t>
    </r>
    <r>
      <rPr>
        <sz val="9"/>
        <rFont val="ＭＳ Ｐゴシック"/>
        <family val="3"/>
      </rPr>
      <t>　階</t>
    </r>
  </si>
  <si>
    <t>測定点</t>
  </si>
  <si>
    <r>
      <t>3/11</t>
    </r>
    <r>
      <rPr>
        <sz val="9"/>
        <rFont val="ＭＳ Ｐゴシック"/>
        <family val="3"/>
      </rPr>
      <t>経過日数</t>
    </r>
  </si>
  <si>
    <t>傾き</t>
  </si>
  <si>
    <t>切片</t>
  </si>
  <si>
    <t>測定点</t>
  </si>
  <si>
    <r>
      <t>1</t>
    </r>
    <r>
      <rPr>
        <sz val="9"/>
        <rFont val="ＭＳ Ｐゴシック"/>
        <family val="3"/>
      </rPr>
      <t>　階</t>
    </r>
  </si>
  <si>
    <r>
      <t xml:space="preserve">10
</t>
    </r>
    <r>
      <rPr>
        <sz val="6"/>
        <rFont val="Arial"/>
        <family val="2"/>
      </rPr>
      <t xml:space="preserve">
</t>
    </r>
    <r>
      <rPr>
        <sz val="9"/>
        <rFont val="Arial"/>
        <family val="2"/>
      </rPr>
      <t xml:space="preserve">9
</t>
    </r>
    <r>
      <rPr>
        <sz val="7"/>
        <rFont val="Arial"/>
        <family val="2"/>
      </rPr>
      <t xml:space="preserve">
</t>
    </r>
    <r>
      <rPr>
        <sz val="9"/>
        <rFont val="Arial"/>
        <family val="2"/>
      </rPr>
      <t xml:space="preserve">8
</t>
    </r>
    <r>
      <rPr>
        <sz val="11"/>
        <rFont val="Arial"/>
        <family val="2"/>
      </rPr>
      <t xml:space="preserve">
</t>
    </r>
  </si>
  <si>
    <t>μSv/hr</t>
  </si>
  <si>
    <t>測定年月日</t>
  </si>
  <si>
    <t>1cm</t>
  </si>
  <si>
    <t>1cm</t>
  </si>
  <si>
    <t>1m</t>
  </si>
  <si>
    <t>2m</t>
  </si>
  <si>
    <r>
      <t xml:space="preserve">2 </t>
    </r>
    <r>
      <rPr>
        <sz val="18"/>
        <rFont val="ＭＳ Ｐゴシック"/>
        <family val="3"/>
      </rPr>
      <t>階</t>
    </r>
  </si>
  <si>
    <r>
      <t xml:space="preserve">1 </t>
    </r>
    <r>
      <rPr>
        <sz val="18"/>
        <rFont val="ＭＳ Ｐゴシック"/>
        <family val="3"/>
      </rPr>
      <t>階</t>
    </r>
  </si>
  <si>
    <r>
      <t>2</t>
    </r>
    <r>
      <rPr>
        <sz val="9"/>
        <rFont val="ＭＳ Ｐゴシック"/>
        <family val="3"/>
      </rPr>
      <t>階は、きれいに近似直線に乗っています。閉空間で空気の出入りが無いものと考えられます。</t>
    </r>
  </si>
  <si>
    <r>
      <t>1</t>
    </r>
    <r>
      <rPr>
        <sz val="9"/>
        <rFont val="ＭＳ Ｐゴシック"/>
        <family val="3"/>
      </rPr>
      <t>階は、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18</t>
    </r>
    <r>
      <rPr>
        <sz val="9"/>
        <rFont val="ＭＳ Ｐゴシック"/>
        <family val="3"/>
      </rPr>
      <t>日の測定値が高くなりました。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階では、台所やトイレ・浴室に設置してある換気扇が空気の出入り箇所になっている</t>
    </r>
  </si>
  <si>
    <t>ことが確認されています。また、天井が腐って床に落下しているのも確認されています。落下した天井が床にかぶさり、床の放射線</t>
  </si>
  <si>
    <t>を遮蔽したりしていることが考えられます。</t>
  </si>
  <si>
    <r>
      <t>これらのことが、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階と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階の状況の差になったものと考えられます。</t>
    </r>
  </si>
  <si>
    <r>
      <t xml:space="preserve"> </t>
    </r>
    <r>
      <rPr>
        <sz val="10"/>
        <rFont val="ＭＳ Ｐゴシック"/>
        <family val="3"/>
      </rPr>
      <t>下図参照のこと</t>
    </r>
  </si>
  <si>
    <r>
      <t>R</t>
    </r>
    <r>
      <rPr>
        <vertAlign val="superscript"/>
        <sz val="9"/>
        <rFont val="Arial"/>
        <family val="2"/>
      </rPr>
      <t>2</t>
    </r>
  </si>
  <si>
    <t>10^LOG</t>
  </si>
  <si>
    <t>傾き</t>
  </si>
  <si>
    <r>
      <t>R</t>
    </r>
    <r>
      <rPr>
        <vertAlign val="superscript"/>
        <sz val="9"/>
        <rFont val="Arial"/>
        <family val="2"/>
      </rPr>
      <t>2</t>
    </r>
  </si>
  <si>
    <t>経過日数</t>
  </si>
  <si>
    <r>
      <t>1</t>
    </r>
    <r>
      <rPr>
        <sz val="10"/>
        <rFont val="ＭＳ Ｐゴシック"/>
        <family val="3"/>
      </rPr>
      <t>階</t>
    </r>
    <r>
      <rPr>
        <sz val="10"/>
        <rFont val="Arial"/>
        <family val="2"/>
      </rPr>
      <t>2mBG</t>
    </r>
  </si>
  <si>
    <r>
      <t>1</t>
    </r>
    <r>
      <rPr>
        <sz val="10"/>
        <rFont val="ＭＳ Ｐゴシック"/>
        <family val="3"/>
      </rPr>
      <t>階</t>
    </r>
    <r>
      <rPr>
        <sz val="10"/>
        <rFont val="Arial"/>
        <family val="2"/>
      </rPr>
      <t>1mBG</t>
    </r>
  </si>
  <si>
    <r>
      <t>1</t>
    </r>
    <r>
      <rPr>
        <sz val="10"/>
        <rFont val="ＭＳ Ｐゴシック"/>
        <family val="3"/>
      </rPr>
      <t>階</t>
    </r>
    <r>
      <rPr>
        <sz val="10"/>
        <rFont val="Arial"/>
        <family val="2"/>
      </rPr>
      <t>1cmBG</t>
    </r>
  </si>
  <si>
    <r>
      <t>2</t>
    </r>
    <r>
      <rPr>
        <sz val="10"/>
        <rFont val="ＭＳ Ｐゴシック"/>
        <family val="3"/>
      </rPr>
      <t>階</t>
    </r>
    <r>
      <rPr>
        <sz val="10"/>
        <rFont val="Arial"/>
        <family val="2"/>
      </rPr>
      <t>2mBG</t>
    </r>
  </si>
  <si>
    <r>
      <t>2</t>
    </r>
    <r>
      <rPr>
        <sz val="10"/>
        <rFont val="ＭＳ Ｐゴシック"/>
        <family val="3"/>
      </rPr>
      <t>階</t>
    </r>
    <r>
      <rPr>
        <sz val="10"/>
        <rFont val="Arial"/>
        <family val="2"/>
      </rPr>
      <t>1mBG</t>
    </r>
  </si>
  <si>
    <r>
      <t>2</t>
    </r>
    <r>
      <rPr>
        <sz val="10"/>
        <rFont val="ＭＳ Ｐゴシック"/>
        <family val="3"/>
      </rPr>
      <t>階</t>
    </r>
    <r>
      <rPr>
        <sz val="10"/>
        <rFont val="Arial"/>
        <family val="2"/>
      </rPr>
      <t>1cmBG</t>
    </r>
  </si>
  <si>
    <r>
      <t>1</t>
    </r>
    <r>
      <rPr>
        <sz val="10"/>
        <rFont val="ＭＳ Ｐゴシック"/>
        <family val="3"/>
      </rPr>
      <t>階</t>
    </r>
    <r>
      <rPr>
        <sz val="10"/>
        <rFont val="Arial"/>
        <family val="2"/>
      </rPr>
      <t>2mBG</t>
    </r>
  </si>
  <si>
    <r>
      <t>Cs-134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2.0648y(754.19d)</t>
    </r>
    <r>
      <rPr>
        <sz val="9"/>
        <rFont val="ＭＳ Ｐゴシック"/>
        <family val="3"/>
      </rPr>
      <t>、</t>
    </r>
    <r>
      <rPr>
        <sz val="9"/>
        <rFont val="Arial"/>
        <family val="2"/>
      </rPr>
      <t>Cs-137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30.167y(11,019d)</t>
    </r>
    <r>
      <rPr>
        <sz val="9"/>
        <rFont val="ＭＳ Ｐゴシック"/>
        <family val="3"/>
      </rPr>
      <t>です。実効半減期は、この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つの物理的半減期と雨風</t>
    </r>
  </si>
  <si>
    <t>除染等によって減少する環境的半減期によって決定します。Cs-134が減衰するとCs-137が残り、実効半減期も大きくなると予想され</t>
  </si>
  <si>
    <t>ます。</t>
  </si>
  <si>
    <r>
      <t>Cs-137</t>
    </r>
    <r>
      <rPr>
        <sz val="10"/>
        <rFont val="ＭＳ Ｐゴシック"/>
        <family val="3"/>
      </rPr>
      <t>の減衰</t>
    </r>
  </si>
  <si>
    <r>
      <t>I-131</t>
    </r>
    <r>
      <rPr>
        <sz val="10"/>
        <rFont val="ＭＳ Ｐゴシック"/>
        <family val="3"/>
      </rPr>
      <t>の減衰</t>
    </r>
  </si>
  <si>
    <r>
      <t>Cs-137</t>
    </r>
    <r>
      <rPr>
        <sz val="9"/>
        <rFont val="ＭＳ Ｐゴシック"/>
        <family val="3"/>
      </rPr>
      <t>の減衰直線です。ただし、存在量が不明ですので、</t>
    </r>
    <r>
      <rPr>
        <sz val="9"/>
        <rFont val="Arial"/>
        <family val="2"/>
      </rPr>
      <t>30.167</t>
    </r>
    <r>
      <rPr>
        <sz val="9"/>
        <rFont val="ＭＳ Ｐゴシック"/>
        <family val="3"/>
      </rPr>
      <t>年という時の長さだけを感じて下さい。</t>
    </r>
  </si>
  <si>
    <r>
      <t>I-131</t>
    </r>
    <r>
      <rPr>
        <sz val="9"/>
        <rFont val="ＭＳ Ｐゴシック"/>
        <family val="3"/>
      </rPr>
      <t>の減衰直線です。存在量が不明ですので、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15</t>
    </r>
    <r>
      <rPr>
        <sz val="9"/>
        <rFont val="ＭＳ Ｐゴシック"/>
        <family val="3"/>
      </rPr>
      <t>日午前</t>
    </r>
    <r>
      <rPr>
        <sz val="9"/>
        <rFont val="Arial"/>
        <family val="2"/>
      </rPr>
      <t>9</t>
    </r>
    <r>
      <rPr>
        <sz val="9"/>
        <rFont val="ＭＳ Ｐゴシック"/>
        <family val="3"/>
      </rPr>
      <t>時</t>
    </r>
    <r>
      <rPr>
        <sz val="9"/>
        <rFont val="Arial"/>
        <family val="2"/>
      </rPr>
      <t>00</t>
    </r>
    <r>
      <rPr>
        <sz val="9"/>
        <rFont val="ＭＳ Ｐゴシック"/>
        <family val="3"/>
      </rPr>
      <t>分正門付近の</t>
    </r>
    <r>
      <rPr>
        <sz val="9"/>
        <rFont val="Arial"/>
        <family val="2"/>
      </rPr>
      <t>11,930</t>
    </r>
    <r>
      <rPr>
        <sz val="9"/>
        <rFont val="ＭＳ Ｐゴシック"/>
        <family val="3"/>
      </rPr>
      <t>μ</t>
    </r>
    <r>
      <rPr>
        <sz val="9"/>
        <rFont val="Arial"/>
        <family val="2"/>
      </rPr>
      <t>Sv/hr</t>
    </r>
    <r>
      <rPr>
        <sz val="9"/>
        <rFont val="ＭＳ Ｐゴシック"/>
        <family val="3"/>
      </rPr>
      <t>としました。</t>
    </r>
  </si>
  <si>
    <r>
      <t xml:space="preserve">
</t>
    </r>
    <r>
      <rPr>
        <sz val="9"/>
        <rFont val="Arial"/>
        <family val="2"/>
      </rPr>
      <t xml:space="preserve">0.1  </t>
    </r>
    <r>
      <rPr>
        <sz val="2"/>
        <rFont val="Arial"/>
        <family val="2"/>
      </rPr>
      <t xml:space="preserve">
</t>
    </r>
    <r>
      <rPr>
        <sz val="9"/>
        <color indexed="11"/>
        <rFont val="Arial"/>
        <family val="2"/>
      </rPr>
      <t>0.05</t>
    </r>
  </si>
  <si>
    <t>年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</si>
</sst>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_ "/>
    <numFmt numFmtId="180" formatCode="#,##0.0_ "/>
    <numFmt numFmtId="181" formatCode="#,##0.0_);[Red]\(#,##0.0\)"/>
    <numFmt numFmtId="182" formatCode="#,##0.0"/>
    <numFmt numFmtId="183" formatCode="&quot;（単位：マイクロシーベルト／時　測定月日･･･&quot;m&quot;月&quot;d&quot;日）&quot;"/>
    <numFmt numFmtId="184" formatCode="#,##0_列&quot;目&quot;&quot;に&quot;&quot;デ&quot;&quot;ー&quot;&quot;タ&quot;&quot;が&quot;&quot;あ&quot;&quot;り&quot;&quot;ま&quot;&quot;す&quot;."/>
    <numFmt numFmtId="185" formatCode="#,##0&quot;列&quot;&quot;目&quot;&quot;に&quot;&quot;デ&quot;&quot;ー&quot;&quot;タ&quot;&quot;が&quot;&quot;あ&quot;&quot;り&quot;&quot;ま&quot;&quot;す&quot;."/>
    <numFmt numFmtId="186" formatCode="&quot;第&quot;##0&quot;号&quot;"/>
    <numFmt numFmtId="187" formatCode="m&quot;月&quot;d&quot;日&quot;;@"/>
    <numFmt numFmtId="188" formatCode="&quot;（測定月日･･･&quot;m&quot;月&quot;d&quot;日）&quot;"/>
    <numFmt numFmtId="189" formatCode="&quot;測定月日･･･&quot;m&quot;月&quot;d&quot;日&quot;"/>
    <numFmt numFmtId="190" formatCode="0.00_ \ \ \ \ "/>
    <numFmt numFmtId="191" formatCode="0.00_ \ \ \ "/>
    <numFmt numFmtId="192" formatCode="#,##0.00\ \ "/>
    <numFmt numFmtId="193" formatCode="[h]&quot;ﾟ&quot;mm&quot;'&quot;ss.000&quot;''&quot;"/>
    <numFmt numFmtId="194" formatCode="[$-411]g/&quot;標&quot;&quot;準&quot;"/>
    <numFmt numFmtId="195" formatCode="[$-411]ggge&quot;年&quot;m&quot;月&quot;d&quot;日&quot;;@"/>
    <numFmt numFmtId="196" formatCode="[$-4102A]&quot;:&quot;ggge&quot;年&quot;m&quot;月&quot;d&quot;日&quot;;@"/>
    <numFmt numFmtId="197" formatCode="General&quot;ﾟ&quot;"/>
    <numFmt numFmtId="198" formatCode="00&quot;'&quot;"/>
    <numFmt numFmtId="199" formatCode="00&quot;.&quot;"/>
    <numFmt numFmtId="200" formatCode="0&quot;''&quot;"/>
    <numFmt numFmtId="201" formatCode="&quot;：&quot;@"/>
    <numFmt numFmtId="202" formatCode="0_);[Red]\(0\)"/>
    <numFmt numFmtId="203" formatCode="&quot; &quot;@"/>
    <numFmt numFmtId="204" formatCode="m/d;@"/>
    <numFmt numFmtId="205" formatCode="[$-411]ggge&quot;年&quot;m&quot;月&quot;d&quot;日(&quot;aaa&quot;)&quot;;@"/>
    <numFmt numFmtId="206" formatCode="yyyy/m/d;@"/>
    <numFmt numFmtId="207" formatCode="\'yy/m/d;@"/>
    <numFmt numFmtId="208" formatCode="m/d"/>
    <numFmt numFmtId="209" formatCode="\'yy/m/d"/>
    <numFmt numFmtId="210" formatCode="#,##0_);[Red]\(#,##0\)"/>
    <numFmt numFmtId="211" formatCode="yyyy"/>
    <numFmt numFmtId="212" formatCode="\'yy"/>
    <numFmt numFmtId="213" formatCode="##0.0&quot; μSv/hr&quot;"/>
    <numFmt numFmtId="214" formatCode="##0.0&quot; μSv/rh到達日&quot;"/>
    <numFmt numFmtId="215" formatCode="##0.00&quot; μSv/rh到達日&quot;"/>
    <numFmt numFmtId="216" formatCode="#,##0&quot;d&quot;"/>
    <numFmt numFmtId="217" formatCode="&quot;(&quot;#,##0.00&quot;y)&quot;"/>
    <numFmt numFmtId="218" formatCode="yy"/>
    <numFmt numFmtId="219" formatCode="#0.00&quot;事故前BG&quot;"/>
    <numFmt numFmtId="220" formatCode="#,##0.00000&quot;d&quot;"/>
    <numFmt numFmtId="221" formatCode="0\ \ \ \ \ \ \ "/>
    <numFmt numFmtId="222" formatCode="0.00\ \ \ \ \ \ \ "/>
  </numFmts>
  <fonts count="50"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Osaka"/>
      <family val="3"/>
    </font>
    <font>
      <sz val="11"/>
      <name val="Arial"/>
      <family val="2"/>
    </font>
    <font>
      <sz val="18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sz val="4"/>
      <name val="ＭＳ Ｐゴシック"/>
      <family val="3"/>
    </font>
    <font>
      <sz val="4.25"/>
      <name val="ＭＳ Ｐゴシック"/>
      <family val="3"/>
    </font>
    <font>
      <sz val="7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9"/>
      <name val="ＭＳ Ｐゴシック"/>
      <family val="3"/>
    </font>
    <font>
      <sz val="8"/>
      <name val="Arial"/>
      <family val="2"/>
    </font>
    <font>
      <sz val="7"/>
      <name val="ＭＳ Ｐゴシック"/>
      <family val="3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7"/>
      <name val="Arial"/>
      <family val="2"/>
    </font>
    <font>
      <sz val="6"/>
      <name val="Arial"/>
      <family val="2"/>
    </font>
    <font>
      <b/>
      <sz val="9"/>
      <color indexed="9"/>
      <name val="Arial"/>
      <family val="2"/>
    </font>
    <font>
      <vertAlign val="superscript"/>
      <sz val="9"/>
      <name val="Arial"/>
      <family val="2"/>
    </font>
    <font>
      <sz val="11.5"/>
      <name val="ＭＳ Ｐゴシック"/>
      <family val="3"/>
    </font>
    <font>
      <sz val="1"/>
      <name val="Arial"/>
      <family val="2"/>
    </font>
    <font>
      <sz val="2"/>
      <name val="Arial"/>
      <family val="2"/>
    </font>
    <font>
      <sz val="9"/>
      <color indexed="11"/>
      <name val="Arial"/>
      <family val="2"/>
    </font>
    <font>
      <b/>
      <sz val="10"/>
      <color indexed="60"/>
      <name val="Arial"/>
      <family val="2"/>
    </font>
    <font>
      <b/>
      <sz val="10"/>
      <color indexed="6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hair"/>
      <top style="thin"/>
      <bottom style="hair"/>
    </border>
    <border>
      <left style="medium">
        <color indexed="23"/>
      </left>
      <right style="hair"/>
      <top style="hair"/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hair"/>
      <right style="medium">
        <color indexed="23"/>
      </right>
      <top style="hair"/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hair"/>
      <top style="medium">
        <color indexed="23"/>
      </top>
      <bottom style="hair"/>
    </border>
    <border>
      <left style="hair"/>
      <right style="hair"/>
      <top style="medium">
        <color indexed="23"/>
      </top>
      <bottom style="hair"/>
    </border>
    <border>
      <left style="hair"/>
      <right style="thin">
        <color indexed="23"/>
      </right>
      <top style="medium">
        <color indexed="23"/>
      </top>
      <bottom style="hair"/>
    </border>
    <border>
      <left style="medium">
        <color indexed="2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>
        <color indexed="23"/>
      </right>
      <top style="hair"/>
      <bottom>
        <color indexed="63"/>
      </bottom>
    </border>
    <border>
      <left style="hair"/>
      <right style="hair"/>
      <top style="hair"/>
      <bottom style="medium">
        <color indexed="23"/>
      </bottom>
    </border>
    <border>
      <left style="hair"/>
      <right style="thin">
        <color indexed="23"/>
      </right>
      <top style="hair"/>
      <bottom style="medium">
        <color indexed="23"/>
      </bottom>
    </border>
    <border>
      <left style="thin">
        <color indexed="23"/>
      </left>
      <right style="hair"/>
      <top style="hair"/>
      <bottom style="medium">
        <color indexed="23"/>
      </bottom>
    </border>
    <border>
      <left style="hair"/>
      <right style="medium">
        <color indexed="23"/>
      </right>
      <top style="hair"/>
      <bottom style="medium">
        <color indexed="23"/>
      </bottom>
    </border>
    <border>
      <left style="hair"/>
      <right style="hair"/>
      <top style="thin"/>
      <bottom style="hair"/>
    </border>
    <border>
      <left style="hair"/>
      <right style="thin">
        <color indexed="23"/>
      </right>
      <top style="thin"/>
      <bottom style="hair"/>
    </border>
    <border>
      <left style="thin">
        <color indexed="23"/>
      </left>
      <right style="hair"/>
      <top style="thin"/>
      <bottom style="hair"/>
    </border>
    <border>
      <left style="hair"/>
      <right style="medium">
        <color indexed="2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medium">
        <color indexed="23"/>
      </right>
      <top style="hair"/>
      <bottom style="hair"/>
    </border>
    <border>
      <left style="thin">
        <color indexed="23"/>
      </left>
      <right style="hair"/>
      <top style="hair"/>
      <bottom>
        <color indexed="63"/>
      </bottom>
    </border>
    <border>
      <left style="medium">
        <color indexed="23"/>
      </left>
      <right style="hair"/>
      <top style="hair"/>
      <bottom style="hair"/>
    </border>
    <border>
      <left style="hair"/>
      <right style="thin">
        <color indexed="23"/>
      </right>
      <top style="hair"/>
      <bottom style="hair"/>
    </border>
    <border>
      <left style="thin">
        <color indexed="2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>
        <color indexed="2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>
        <color indexed="23"/>
      </right>
      <top style="hair"/>
      <bottom style="thin"/>
    </border>
    <border>
      <left style="medium">
        <color indexed="23"/>
      </left>
      <right style="hair"/>
      <top>
        <color indexed="63"/>
      </top>
      <bottom style="hair"/>
    </border>
    <border>
      <left style="hair"/>
      <right style="thin">
        <color indexed="23"/>
      </right>
      <top>
        <color indexed="63"/>
      </top>
      <bottom style="hair"/>
    </border>
    <border>
      <left style="thin">
        <color indexed="23"/>
      </left>
      <right style="hair"/>
      <top>
        <color indexed="63"/>
      </top>
      <bottom style="hair"/>
    </border>
    <border>
      <left style="hair"/>
      <right style="medium">
        <color indexed="23"/>
      </right>
      <top style="medium">
        <color indexed="23"/>
      </top>
      <bottom style="hair"/>
    </border>
    <border>
      <left style="medium">
        <color indexed="23"/>
      </left>
      <right style="hair"/>
      <top style="hair"/>
      <bottom style="thin"/>
    </border>
    <border>
      <left style="hair"/>
      <right style="thin">
        <color indexed="23"/>
      </right>
      <top style="hair"/>
      <bottom style="thin"/>
    </border>
    <border>
      <left style="thin">
        <color indexed="23"/>
      </left>
      <right style="hair"/>
      <top style="hair"/>
      <bottom style="thin"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hair"/>
      <top style="medium">
        <color indexed="23"/>
      </top>
      <bottom style="hair"/>
    </border>
    <border>
      <left style="thin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93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top" wrapText="1"/>
    </xf>
    <xf numFmtId="204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206" fontId="21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207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61" applyFont="1">
      <alignment/>
      <protection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9" fillId="0" borderId="15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8" xfId="0" applyNumberFormat="1" applyFont="1" applyFill="1" applyBorder="1" applyAlignment="1">
      <alignment vertical="center"/>
    </xf>
    <xf numFmtId="0" fontId="29" fillId="0" borderId="19" xfId="0" applyNumberFormat="1" applyFont="1" applyFill="1" applyBorder="1" applyAlignment="1">
      <alignment vertical="center"/>
    </xf>
    <xf numFmtId="0" fontId="29" fillId="0" borderId="20" xfId="0" applyNumberFormat="1" applyFont="1" applyFill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0" borderId="19" xfId="0" applyNumberFormat="1" applyFont="1" applyFill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23" borderId="24" xfId="0" applyFont="1" applyFill="1" applyBorder="1" applyAlignment="1">
      <alignment horizontal="center" vertical="center" shrinkToFit="1"/>
    </xf>
    <xf numFmtId="209" fontId="35" fillId="23" borderId="25" xfId="0" applyNumberFormat="1" applyFont="1" applyFill="1" applyBorder="1" applyAlignment="1">
      <alignment horizontal="center" vertical="center" shrinkToFit="1"/>
    </xf>
    <xf numFmtId="209" fontId="29" fillId="23" borderId="26" xfId="0" applyNumberFormat="1" applyFont="1" applyFill="1" applyBorder="1" applyAlignment="1">
      <alignment horizontal="center" vertical="center" shrinkToFit="1"/>
    </xf>
    <xf numFmtId="0" fontId="27" fillId="23" borderId="27" xfId="0" applyNumberFormat="1" applyFont="1" applyFill="1" applyBorder="1" applyAlignment="1">
      <alignment vertical="center"/>
    </xf>
    <xf numFmtId="0" fontId="27" fillId="23" borderId="0" xfId="0" applyNumberFormat="1" applyFont="1" applyFill="1" applyBorder="1" applyAlignment="1">
      <alignment vertical="center"/>
    </xf>
    <xf numFmtId="210" fontId="26" fillId="0" borderId="0" xfId="0" applyNumberFormat="1" applyFont="1" applyAlignment="1">
      <alignment vertical="center"/>
    </xf>
    <xf numFmtId="0" fontId="29" fillId="23" borderId="13" xfId="0" applyNumberFormat="1" applyFont="1" applyFill="1" applyBorder="1" applyAlignment="1">
      <alignment wrapText="1"/>
    </xf>
    <xf numFmtId="0" fontId="29" fillId="23" borderId="28" xfId="0" applyNumberFormat="1" applyFont="1" applyFill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23" borderId="30" xfId="0" applyNumberFormat="1" applyFont="1" applyFill="1" applyBorder="1" applyAlignment="1">
      <alignment vertical="center"/>
    </xf>
    <xf numFmtId="0" fontId="27" fillId="23" borderId="31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/>
    </xf>
    <xf numFmtId="0" fontId="35" fillId="23" borderId="32" xfId="0" applyFont="1" applyFill="1" applyBorder="1" applyAlignment="1">
      <alignment horizontal="center" vertical="center" shrinkToFit="1"/>
    </xf>
    <xf numFmtId="0" fontId="35" fillId="23" borderId="14" xfId="0" applyFont="1" applyFill="1" applyBorder="1" applyAlignment="1">
      <alignment vertical="center" shrinkToFit="1"/>
    </xf>
    <xf numFmtId="0" fontId="35" fillId="23" borderId="33" xfId="0" applyFont="1" applyFill="1" applyBorder="1" applyAlignment="1">
      <alignment vertical="center" shrinkToFit="1"/>
    </xf>
    <xf numFmtId="178" fontId="29" fillId="0" borderId="34" xfId="0" applyNumberFormat="1" applyFont="1" applyFill="1" applyBorder="1" applyAlignment="1">
      <alignment horizontal="center" vertical="center"/>
    </xf>
    <xf numFmtId="216" fontId="26" fillId="0" borderId="0" xfId="0" applyNumberFormat="1" applyFont="1" applyAlignment="1">
      <alignment vertical="center"/>
    </xf>
    <xf numFmtId="0" fontId="29" fillId="23" borderId="13" xfId="0" applyNumberFormat="1" applyFont="1" applyFill="1" applyBorder="1" applyAlignment="1">
      <alignment horizontal="center" wrapText="1"/>
    </xf>
    <xf numFmtId="0" fontId="29" fillId="23" borderId="28" xfId="0" applyNumberFormat="1" applyFont="1" applyFill="1" applyBorder="1" applyAlignment="1">
      <alignment horizontal="center" wrapText="1"/>
    </xf>
    <xf numFmtId="0" fontId="28" fillId="23" borderId="35" xfId="0" applyNumberFormat="1" applyFont="1" applyFill="1" applyBorder="1" applyAlignment="1">
      <alignment horizontal="center" vertical="center"/>
    </xf>
    <xf numFmtId="0" fontId="28" fillId="23" borderId="36" xfId="0" applyNumberFormat="1" applyFont="1" applyFill="1" applyBorder="1" applyAlignment="1">
      <alignment horizontal="center" vertical="center"/>
    </xf>
    <xf numFmtId="0" fontId="28" fillId="23" borderId="37" xfId="0" applyNumberFormat="1" applyFont="1" applyFill="1" applyBorder="1" applyAlignment="1">
      <alignment horizontal="center" vertical="center"/>
    </xf>
    <xf numFmtId="0" fontId="28" fillId="23" borderId="27" xfId="0" applyNumberFormat="1" applyFont="1" applyFill="1" applyBorder="1" applyAlignment="1">
      <alignment horizontal="center" vertical="center"/>
    </xf>
    <xf numFmtId="0" fontId="28" fillId="23" borderId="0" xfId="0" applyNumberFormat="1" applyFont="1" applyFill="1" applyBorder="1" applyAlignment="1">
      <alignment horizontal="center" vertical="center"/>
    </xf>
    <xf numFmtId="0" fontId="28" fillId="23" borderId="13" xfId="0" applyNumberFormat="1" applyFont="1" applyFill="1" applyBorder="1" applyAlignment="1">
      <alignment horizontal="center" vertical="center"/>
    </xf>
    <xf numFmtId="0" fontId="35" fillId="23" borderId="38" xfId="0" applyFont="1" applyFill="1" applyBorder="1" applyAlignment="1">
      <alignment horizontal="center" vertical="center" shrinkToFit="1"/>
    </xf>
    <xf numFmtId="0" fontId="35" fillId="23" borderId="39" xfId="0" applyFont="1" applyFill="1" applyBorder="1" applyAlignment="1">
      <alignment horizontal="center" vertical="center" shrinkToFit="1"/>
    </xf>
    <xf numFmtId="0" fontId="35" fillId="23" borderId="40" xfId="0" applyFont="1" applyFill="1" applyBorder="1" applyAlignment="1">
      <alignment horizontal="center" vertical="center" shrinkToFit="1"/>
    </xf>
    <xf numFmtId="0" fontId="29" fillId="23" borderId="27" xfId="0" applyNumberFormat="1" applyFont="1" applyFill="1" applyBorder="1" applyAlignment="1">
      <alignment horizontal="center" vertical="center"/>
    </xf>
    <xf numFmtId="0" fontId="29" fillId="23" borderId="0" xfId="0" applyNumberFormat="1" applyFont="1" applyFill="1" applyBorder="1" applyAlignment="1">
      <alignment horizontal="center" vertical="center"/>
    </xf>
    <xf numFmtId="0" fontId="35" fillId="23" borderId="41" xfId="0" applyFont="1" applyFill="1" applyBorder="1" applyAlignment="1">
      <alignment horizontal="center" vertical="center" shrinkToFit="1"/>
    </xf>
    <xf numFmtId="0" fontId="35" fillId="23" borderId="42" xfId="0" applyFont="1" applyFill="1" applyBorder="1" applyAlignment="1">
      <alignment horizontal="center" vertical="center" shrinkToFit="1"/>
    </xf>
    <xf numFmtId="0" fontId="35" fillId="23" borderId="43" xfId="0" applyFont="1" applyFill="1" applyBorder="1" applyAlignment="1">
      <alignment horizontal="center" vertical="center" shrinkToFit="1"/>
    </xf>
    <xf numFmtId="0" fontId="29" fillId="21" borderId="44" xfId="0" applyNumberFormat="1" applyFont="1" applyFill="1" applyBorder="1" applyAlignment="1">
      <alignment horizontal="center" vertical="center" shrinkToFit="1"/>
    </xf>
    <xf numFmtId="0" fontId="29" fillId="21" borderId="45" xfId="0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>
      <alignment horizontal="center" vertical="center"/>
    </xf>
    <xf numFmtId="0" fontId="29" fillId="0" borderId="44" xfId="0" applyNumberFormat="1" applyFont="1" applyFill="1" applyBorder="1" applyAlignment="1">
      <alignment horizontal="center" vertical="center"/>
    </xf>
    <xf numFmtId="0" fontId="29" fillId="21" borderId="47" xfId="0" applyNumberFormat="1" applyFont="1" applyFill="1" applyBorder="1" applyAlignment="1">
      <alignment horizontal="center" vertical="center" shrinkToFit="1"/>
    </xf>
    <xf numFmtId="209" fontId="35" fillId="21" borderId="44" xfId="0" applyNumberFormat="1" applyFont="1" applyFill="1" applyBorder="1" applyAlignment="1">
      <alignment horizontal="center" vertical="center" shrinkToFit="1"/>
    </xf>
    <xf numFmtId="209" fontId="29" fillId="21" borderId="45" xfId="0" applyNumberFormat="1" applyFont="1" applyFill="1" applyBorder="1" applyAlignment="1">
      <alignment horizontal="center" vertical="center" shrinkToFit="1"/>
    </xf>
    <xf numFmtId="178" fontId="29" fillId="0" borderId="42" xfId="0" applyNumberFormat="1" applyFont="1" applyFill="1" applyBorder="1" applyAlignment="1">
      <alignment horizontal="center" vertical="center"/>
    </xf>
    <xf numFmtId="209" fontId="35" fillId="23" borderId="48" xfId="0" applyNumberFormat="1" applyFont="1" applyFill="1" applyBorder="1" applyAlignment="1">
      <alignment horizontal="center" vertical="center" shrinkToFit="1"/>
    </xf>
    <xf numFmtId="209" fontId="35" fillId="23" borderId="49" xfId="0" applyNumberFormat="1" applyFont="1" applyFill="1" applyBorder="1" applyAlignment="1">
      <alignment horizontal="center" vertical="center" shrinkToFit="1"/>
    </xf>
    <xf numFmtId="0" fontId="29" fillId="0" borderId="50" xfId="0" applyNumberFormat="1" applyFont="1" applyFill="1" applyBorder="1" applyAlignment="1">
      <alignment horizontal="center" vertical="center"/>
    </xf>
    <xf numFmtId="0" fontId="29" fillId="0" borderId="48" xfId="0" applyNumberFormat="1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178" fontId="38" fillId="0" borderId="52" xfId="0" applyNumberFormat="1" applyFont="1" applyFill="1" applyBorder="1" applyAlignment="1">
      <alignment horizontal="center" vertical="center"/>
    </xf>
    <xf numFmtId="178" fontId="38" fillId="0" borderId="53" xfId="0" applyNumberFormat="1" applyFont="1" applyFill="1" applyBorder="1" applyAlignment="1">
      <alignment horizontal="center" vertical="center"/>
    </xf>
    <xf numFmtId="178" fontId="29" fillId="0" borderId="54" xfId="0" applyNumberFormat="1" applyFont="1" applyFill="1" applyBorder="1" applyAlignment="1">
      <alignment horizontal="center" vertical="center"/>
    </xf>
    <xf numFmtId="178" fontId="29" fillId="0" borderId="43" xfId="0" applyNumberFormat="1" applyFont="1" applyFill="1" applyBorder="1" applyAlignment="1">
      <alignment horizontal="center" vertical="center"/>
    </xf>
    <xf numFmtId="178" fontId="29" fillId="0" borderId="52" xfId="0" applyNumberFormat="1" applyFont="1" applyFill="1" applyBorder="1" applyAlignment="1">
      <alignment horizontal="center" vertical="center"/>
    </xf>
    <xf numFmtId="178" fontId="29" fillId="0" borderId="53" xfId="0" applyNumberFormat="1" applyFont="1" applyFill="1" applyBorder="1" applyAlignment="1">
      <alignment horizontal="center" vertical="center"/>
    </xf>
    <xf numFmtId="0" fontId="35" fillId="23" borderId="55" xfId="0" applyFont="1" applyFill="1" applyBorder="1" applyAlignment="1">
      <alignment horizontal="center" vertical="center" shrinkToFit="1"/>
    </xf>
    <xf numFmtId="0" fontId="35" fillId="23" borderId="52" xfId="0" applyFont="1" applyFill="1" applyBorder="1" applyAlignment="1">
      <alignment horizontal="center" vertical="center" shrinkToFit="1"/>
    </xf>
    <xf numFmtId="0" fontId="35" fillId="23" borderId="56" xfId="0" applyFont="1" applyFill="1" applyBorder="1" applyAlignment="1">
      <alignment horizontal="center" vertical="center" shrinkToFit="1"/>
    </xf>
    <xf numFmtId="178" fontId="40" fillId="0" borderId="57" xfId="0" applyNumberFormat="1" applyFont="1" applyFill="1" applyBorder="1" applyAlignment="1">
      <alignment horizontal="center" vertical="center"/>
    </xf>
    <xf numFmtId="178" fontId="40" fillId="0" borderId="52" xfId="0" applyNumberFormat="1" applyFont="1" applyFill="1" applyBorder="1" applyAlignment="1">
      <alignment horizontal="center" vertical="center"/>
    </xf>
    <xf numFmtId="178" fontId="40" fillId="0" borderId="56" xfId="0" applyNumberFormat="1" applyFont="1" applyFill="1" applyBorder="1" applyAlignment="1">
      <alignment horizontal="center" vertical="center"/>
    </xf>
    <xf numFmtId="178" fontId="39" fillId="0" borderId="57" xfId="0" applyNumberFormat="1" applyFont="1" applyFill="1" applyBorder="1" applyAlignment="1">
      <alignment horizontal="center" vertical="center"/>
    </xf>
    <xf numFmtId="178" fontId="39" fillId="0" borderId="52" xfId="0" applyNumberFormat="1" applyFont="1" applyFill="1" applyBorder="1" applyAlignment="1">
      <alignment horizontal="center" vertical="center"/>
    </xf>
    <xf numFmtId="178" fontId="39" fillId="0" borderId="56" xfId="0" applyNumberFormat="1" applyFont="1" applyFill="1" applyBorder="1" applyAlignment="1">
      <alignment horizontal="center" vertical="center"/>
    </xf>
    <xf numFmtId="178" fontId="38" fillId="0" borderId="57" xfId="0" applyNumberFormat="1" applyFont="1" applyFill="1" applyBorder="1" applyAlignment="1">
      <alignment horizontal="center" vertical="center"/>
    </xf>
    <xf numFmtId="178" fontId="29" fillId="0" borderId="58" xfId="0" applyNumberFormat="1" applyFont="1" applyFill="1" applyBorder="1" applyAlignment="1">
      <alignment horizontal="center" vertical="center"/>
    </xf>
    <xf numFmtId="178" fontId="29" fillId="0" borderId="59" xfId="0" applyNumberFormat="1" applyFont="1" applyFill="1" applyBorder="1" applyAlignment="1">
      <alignment horizontal="center" vertical="center"/>
    </xf>
    <xf numFmtId="178" fontId="29" fillId="0" borderId="57" xfId="0" applyNumberFormat="1" applyFont="1" applyFill="1" applyBorder="1" applyAlignment="1">
      <alignment horizontal="center" vertical="center"/>
    </xf>
    <xf numFmtId="178" fontId="29" fillId="0" borderId="56" xfId="0" applyNumberFormat="1" applyFont="1" applyFill="1" applyBorder="1" applyAlignment="1">
      <alignment horizontal="center" vertical="center"/>
    </xf>
    <xf numFmtId="210" fontId="29" fillId="0" borderId="60" xfId="0" applyNumberFormat="1" applyFont="1" applyFill="1" applyBorder="1" applyAlignment="1">
      <alignment horizontal="center" vertical="center"/>
    </xf>
    <xf numFmtId="210" fontId="29" fillId="0" borderId="61" xfId="0" applyNumberFormat="1" applyFont="1" applyFill="1" applyBorder="1" applyAlignment="1">
      <alignment horizontal="center" vertical="center"/>
    </xf>
    <xf numFmtId="0" fontId="35" fillId="23" borderId="62" xfId="0" applyFont="1" applyFill="1" applyBorder="1" applyAlignment="1">
      <alignment horizontal="center" vertical="center" shrinkToFit="1"/>
    </xf>
    <xf numFmtId="0" fontId="35" fillId="23" borderId="58" xfId="0" applyFont="1" applyFill="1" applyBorder="1" applyAlignment="1">
      <alignment horizontal="center" vertical="center" shrinkToFit="1"/>
    </xf>
    <xf numFmtId="0" fontId="35" fillId="23" borderId="63" xfId="0" applyFont="1" applyFill="1" applyBorder="1" applyAlignment="1">
      <alignment horizontal="center" vertical="center" shrinkToFit="1"/>
    </xf>
    <xf numFmtId="178" fontId="29" fillId="0" borderId="64" xfId="0" applyNumberFormat="1" applyFont="1" applyFill="1" applyBorder="1" applyAlignment="1">
      <alignment horizontal="center" vertical="center"/>
    </xf>
    <xf numFmtId="178" fontId="29" fillId="0" borderId="63" xfId="0" applyNumberFormat="1" applyFont="1" applyFill="1" applyBorder="1" applyAlignment="1">
      <alignment horizontal="center" vertical="center"/>
    </xf>
    <xf numFmtId="209" fontId="29" fillId="0" borderId="39" xfId="0" applyNumberFormat="1" applyFont="1" applyFill="1" applyBorder="1" applyAlignment="1">
      <alignment horizontal="center" vertical="center"/>
    </xf>
    <xf numFmtId="209" fontId="29" fillId="0" borderId="65" xfId="0" applyNumberFormat="1" applyFont="1" applyFill="1" applyBorder="1" applyAlignment="1">
      <alignment horizontal="center" vertical="center"/>
    </xf>
    <xf numFmtId="0" fontId="29" fillId="23" borderId="66" xfId="0" applyFont="1" applyFill="1" applyBorder="1" applyAlignment="1">
      <alignment horizontal="center" vertical="center" shrinkToFit="1"/>
    </xf>
    <xf numFmtId="0" fontId="29" fillId="23" borderId="60" xfId="0" applyFont="1" applyFill="1" applyBorder="1" applyAlignment="1">
      <alignment horizontal="center" vertical="center" shrinkToFit="1"/>
    </xf>
    <xf numFmtId="0" fontId="29" fillId="23" borderId="67" xfId="0" applyFont="1" applyFill="1" applyBorder="1" applyAlignment="1">
      <alignment horizontal="center" vertical="center" shrinkToFit="1"/>
    </xf>
    <xf numFmtId="210" fontId="29" fillId="0" borderId="68" xfId="0" applyNumberFormat="1" applyFont="1" applyFill="1" applyBorder="1" applyAlignment="1">
      <alignment horizontal="center" vertical="center"/>
    </xf>
    <xf numFmtId="210" fontId="29" fillId="0" borderId="67" xfId="0" applyNumberFormat="1" applyFont="1" applyFill="1" applyBorder="1" applyAlignment="1">
      <alignment horizontal="center" vertical="center"/>
    </xf>
    <xf numFmtId="0" fontId="35" fillId="23" borderId="69" xfId="0" applyFont="1" applyFill="1" applyBorder="1" applyAlignment="1">
      <alignment horizontal="center" vertical="center" shrinkToFit="1"/>
    </xf>
    <xf numFmtId="178" fontId="29" fillId="23" borderId="69" xfId="0" applyNumberFormat="1" applyFont="1" applyFill="1" applyBorder="1" applyAlignment="1">
      <alignment horizontal="center" vertical="center"/>
    </xf>
    <xf numFmtId="0" fontId="42" fillId="24" borderId="69" xfId="0" applyFont="1" applyFill="1" applyBorder="1" applyAlignment="1">
      <alignment horizontal="center" vertical="center"/>
    </xf>
    <xf numFmtId="0" fontId="42" fillId="19" borderId="69" xfId="0" applyFont="1" applyFill="1" applyBorder="1" applyAlignment="1">
      <alignment horizontal="center" vertical="center"/>
    </xf>
    <xf numFmtId="209" fontId="29" fillId="0" borderId="70" xfId="0" applyNumberFormat="1" applyFont="1" applyFill="1" applyBorder="1" applyAlignment="1">
      <alignment horizontal="center" vertical="center"/>
    </xf>
    <xf numFmtId="209" fontId="29" fillId="0" borderId="4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5" fillId="23" borderId="71" xfId="0" applyFont="1" applyFill="1" applyBorder="1" applyAlignment="1">
      <alignment horizontal="distributed" vertical="center" shrinkToFit="1"/>
    </xf>
    <xf numFmtId="0" fontId="29" fillId="23" borderId="72" xfId="0" applyFont="1" applyFill="1" applyBorder="1" applyAlignment="1">
      <alignment horizontal="distributed" vertical="center" shrinkToFit="1"/>
    </xf>
    <xf numFmtId="0" fontId="35" fillId="23" borderId="73" xfId="0" applyFont="1" applyFill="1" applyBorder="1" applyAlignment="1">
      <alignment horizontal="distributed" vertical="center" shrinkToFit="1"/>
    </xf>
    <xf numFmtId="0" fontId="29" fillId="23" borderId="74" xfId="0" applyFont="1" applyFill="1" applyBorder="1" applyAlignment="1">
      <alignment horizontal="distributed" vertical="center" shrinkToFit="1"/>
    </xf>
    <xf numFmtId="0" fontId="27" fillId="0" borderId="31" xfId="0" applyFont="1" applyBorder="1" applyAlignment="1">
      <alignment horizontal="right" vertical="center"/>
    </xf>
    <xf numFmtId="56" fontId="26" fillId="0" borderId="75" xfId="0" applyNumberFormat="1" applyFont="1" applyBorder="1" applyAlignment="1">
      <alignment vertical="center" shrinkToFit="1"/>
    </xf>
    <xf numFmtId="0" fontId="26" fillId="0" borderId="76" xfId="0" applyNumberFormat="1" applyFont="1" applyBorder="1" applyAlignment="1">
      <alignment vertical="center" shrinkToFit="1"/>
    </xf>
    <xf numFmtId="0" fontId="26" fillId="0" borderId="77" xfId="0" applyNumberFormat="1" applyFont="1" applyBorder="1" applyAlignment="1">
      <alignment vertical="center" shrinkToFit="1"/>
    </xf>
    <xf numFmtId="0" fontId="35" fillId="23" borderId="78" xfId="0" applyFont="1" applyFill="1" applyBorder="1" applyAlignment="1">
      <alignment horizontal="distributed" vertical="center" shrinkToFit="1"/>
    </xf>
    <xf numFmtId="0" fontId="29" fillId="23" borderId="79" xfId="0" applyFont="1" applyFill="1" applyBorder="1" applyAlignment="1">
      <alignment horizontal="distributed" vertical="center" shrinkToFit="1"/>
    </xf>
    <xf numFmtId="0" fontId="35" fillId="23" borderId="80" xfId="0" applyFont="1" applyFill="1" applyBorder="1" applyAlignment="1">
      <alignment horizontal="distributed" vertical="center" shrinkToFit="1"/>
    </xf>
    <xf numFmtId="0" fontId="35" fillId="23" borderId="81" xfId="0" applyFont="1" applyFill="1" applyBorder="1" applyAlignment="1">
      <alignment horizontal="distributed" vertical="center" shrinkToFit="1"/>
    </xf>
    <xf numFmtId="0" fontId="26" fillId="0" borderId="82" xfId="0" applyNumberFormat="1" applyFont="1" applyBorder="1" applyAlignment="1">
      <alignment vertical="center" shrinkToFit="1"/>
    </xf>
    <xf numFmtId="0" fontId="26" fillId="0" borderId="83" xfId="0" applyNumberFormat="1" applyFont="1" applyBorder="1" applyAlignment="1">
      <alignment vertical="center" shrinkToFit="1"/>
    </xf>
    <xf numFmtId="0" fontId="26" fillId="0" borderId="84" xfId="0" applyNumberFormat="1" applyFont="1" applyBorder="1" applyAlignment="1">
      <alignment vertical="center" shrinkToFit="1"/>
    </xf>
    <xf numFmtId="203" fontId="25" fillId="0" borderId="85" xfId="0" applyNumberFormat="1" applyFont="1" applyBorder="1" applyAlignment="1">
      <alignment vertical="center" shrinkToFit="1"/>
    </xf>
    <xf numFmtId="203" fontId="26" fillId="0" borderId="86" xfId="0" applyNumberFormat="1" applyFont="1" applyBorder="1" applyAlignment="1">
      <alignment vertical="center" shrinkToFit="1"/>
    </xf>
    <xf numFmtId="203" fontId="26" fillId="0" borderId="87" xfId="0" applyNumberFormat="1" applyFont="1" applyBorder="1" applyAlignment="1">
      <alignment vertical="center" shrinkToFit="1"/>
    </xf>
    <xf numFmtId="0" fontId="26" fillId="0" borderId="85" xfId="0" applyNumberFormat="1" applyFont="1" applyBorder="1" applyAlignment="1">
      <alignment vertical="center" shrinkToFit="1"/>
    </xf>
    <xf numFmtId="0" fontId="26" fillId="0" borderId="86" xfId="0" applyNumberFormat="1" applyFont="1" applyBorder="1" applyAlignment="1">
      <alignment vertical="center" shrinkToFit="1"/>
    </xf>
    <xf numFmtId="0" fontId="26" fillId="0" borderId="88" xfId="0" applyNumberFormat="1" applyFont="1" applyBorder="1" applyAlignment="1">
      <alignment vertical="center" shrinkToFit="1"/>
    </xf>
    <xf numFmtId="205" fontId="26" fillId="0" borderId="89" xfId="0" applyNumberFormat="1" applyFont="1" applyBorder="1" applyAlignment="1">
      <alignment horizontal="left" vertical="center" shrinkToFit="1"/>
    </xf>
    <xf numFmtId="205" fontId="26" fillId="0" borderId="90" xfId="0" applyNumberFormat="1" applyFont="1" applyBorder="1" applyAlignment="1">
      <alignment horizontal="left" vertical="center" shrinkToFit="1"/>
    </xf>
    <xf numFmtId="0" fontId="26" fillId="0" borderId="75" xfId="0" applyNumberFormat="1" applyFont="1" applyBorder="1" applyAlignment="1">
      <alignment vertical="center" shrinkToFit="1"/>
    </xf>
    <xf numFmtId="0" fontId="26" fillId="0" borderId="91" xfId="0" applyNumberFormat="1" applyFont="1" applyBorder="1" applyAlignment="1">
      <alignment vertical="center" shrinkToFit="1"/>
    </xf>
    <xf numFmtId="0" fontId="35" fillId="23" borderId="92" xfId="0" applyFont="1" applyFill="1" applyBorder="1" applyAlignment="1">
      <alignment horizontal="distributed" vertical="center" shrinkToFit="1"/>
    </xf>
    <xf numFmtId="0" fontId="35" fillId="23" borderId="93" xfId="0" applyFont="1" applyFill="1" applyBorder="1" applyAlignment="1">
      <alignment horizontal="distributed" vertical="center" shrinkToFit="1"/>
    </xf>
    <xf numFmtId="0" fontId="35" fillId="23" borderId="94" xfId="0" applyFont="1" applyFill="1" applyBorder="1" applyAlignment="1">
      <alignment horizontal="distributed" vertical="center" shrinkToFit="1"/>
    </xf>
    <xf numFmtId="0" fontId="35" fillId="23" borderId="95" xfId="0" applyFont="1" applyFill="1" applyBorder="1" applyAlignment="1">
      <alignment horizontal="distributed" vertical="center" shrinkToFit="1"/>
    </xf>
    <xf numFmtId="0" fontId="35" fillId="23" borderId="96" xfId="0" applyFont="1" applyFill="1" applyBorder="1" applyAlignment="1">
      <alignment horizontal="distributed" vertical="center" shrinkToFit="1"/>
    </xf>
    <xf numFmtId="0" fontId="26" fillId="0" borderId="97" xfId="0" applyNumberFormat="1" applyFont="1" applyBorder="1" applyAlignment="1">
      <alignment vertical="center" shrinkToFit="1"/>
    </xf>
    <xf numFmtId="0" fontId="26" fillId="0" borderId="98" xfId="0" applyNumberFormat="1" applyFont="1" applyBorder="1" applyAlignment="1">
      <alignment vertical="center" shrinkToFit="1"/>
    </xf>
    <xf numFmtId="0" fontId="26" fillId="0" borderId="93" xfId="0" applyNumberFormat="1" applyFont="1" applyBorder="1" applyAlignment="1">
      <alignment vertical="center" shrinkToFit="1"/>
    </xf>
    <xf numFmtId="0" fontId="26" fillId="0" borderId="99" xfId="0" applyNumberFormat="1" applyFont="1" applyBorder="1" applyAlignment="1">
      <alignment vertical="center" shrinkToFit="1"/>
    </xf>
    <xf numFmtId="0" fontId="26" fillId="0" borderId="100" xfId="0" applyNumberFormat="1" applyFont="1" applyBorder="1" applyAlignment="1">
      <alignment vertical="center" shrinkToFit="1"/>
    </xf>
    <xf numFmtId="0" fontId="26" fillId="0" borderId="101" xfId="0" applyNumberFormat="1" applyFont="1" applyBorder="1" applyAlignment="1">
      <alignment vertical="center" shrinkToFit="1"/>
    </xf>
    <xf numFmtId="0" fontId="26" fillId="0" borderId="102" xfId="0" applyNumberFormat="1" applyFont="1" applyBorder="1" applyAlignment="1">
      <alignment vertical="center" shrinkToFit="1"/>
    </xf>
    <xf numFmtId="0" fontId="42" fillId="25" borderId="69" xfId="0" applyFont="1" applyFill="1" applyBorder="1" applyAlignment="1">
      <alignment horizontal="center" vertical="center"/>
    </xf>
    <xf numFmtId="0" fontId="42" fillId="25" borderId="103" xfId="0" applyFont="1" applyFill="1" applyBorder="1" applyAlignment="1">
      <alignment horizontal="center" vertical="center"/>
    </xf>
    <xf numFmtId="0" fontId="29" fillId="23" borderId="27" xfId="0" applyNumberFormat="1" applyFont="1" applyFill="1" applyBorder="1" applyAlignment="1">
      <alignment horizontal="right" vertical="center"/>
    </xf>
    <xf numFmtId="0" fontId="29" fillId="23" borderId="0" xfId="0" applyNumberFormat="1" applyFont="1" applyFill="1" applyBorder="1" applyAlignment="1">
      <alignment horizontal="right" vertical="center"/>
    </xf>
    <xf numFmtId="0" fontId="29" fillId="23" borderId="13" xfId="0" applyNumberFormat="1" applyFont="1" applyFill="1" applyBorder="1" applyAlignment="1">
      <alignment horizontal="right" vertical="center"/>
    </xf>
    <xf numFmtId="0" fontId="29" fillId="0" borderId="97" xfId="0" applyNumberFormat="1" applyFont="1" applyFill="1" applyBorder="1" applyAlignment="1">
      <alignment horizontal="center" vertical="center"/>
    </xf>
    <xf numFmtId="0" fontId="29" fillId="0" borderId="98" xfId="0" applyNumberFormat="1" applyFont="1" applyFill="1" applyBorder="1" applyAlignment="1">
      <alignment horizontal="center" vertical="center"/>
    </xf>
    <xf numFmtId="0" fontId="42" fillId="25" borderId="104" xfId="0" applyFont="1" applyFill="1" applyBorder="1" applyAlignment="1">
      <alignment horizontal="center" vertical="center"/>
    </xf>
    <xf numFmtId="0" fontId="42" fillId="25" borderId="105" xfId="0" applyFont="1" applyFill="1" applyBorder="1" applyAlignment="1">
      <alignment horizontal="center" vertical="center"/>
    </xf>
    <xf numFmtId="215" fontId="29" fillId="10" borderId="106" xfId="0" applyNumberFormat="1" applyFont="1" applyFill="1" applyBorder="1" applyAlignment="1">
      <alignment horizontal="center" vertical="center" shrinkToFit="1"/>
    </xf>
    <xf numFmtId="215" fontId="29" fillId="10" borderId="107" xfId="0" applyNumberFormat="1" applyFont="1" applyFill="1" applyBorder="1" applyAlignment="1">
      <alignment horizontal="center" vertical="center" shrinkToFit="1"/>
    </xf>
    <xf numFmtId="215" fontId="29" fillId="10" borderId="108" xfId="0" applyNumberFormat="1" applyFont="1" applyFill="1" applyBorder="1" applyAlignment="1">
      <alignment horizontal="center" vertical="center" shrinkToFit="1"/>
    </xf>
    <xf numFmtId="209" fontId="29" fillId="23" borderId="4" xfId="0" applyNumberFormat="1" applyFont="1" applyFill="1" applyBorder="1" applyAlignment="1">
      <alignment horizontal="center" vertical="center" shrinkToFit="1"/>
    </xf>
    <xf numFmtId="209" fontId="35" fillId="21" borderId="4" xfId="0" applyNumberFormat="1" applyFont="1" applyFill="1" applyBorder="1" applyAlignment="1">
      <alignment horizontal="center" vertical="center" shrinkToFit="1"/>
    </xf>
    <xf numFmtId="209" fontId="29" fillId="21" borderId="4" xfId="0" applyNumberFormat="1" applyFont="1" applyFill="1" applyBorder="1" applyAlignment="1">
      <alignment horizontal="center" vertical="center" shrinkToFit="1"/>
    </xf>
    <xf numFmtId="209" fontId="35" fillId="23" borderId="107" xfId="0" applyNumberFormat="1" applyFont="1" applyFill="1" applyBorder="1" applyAlignment="1">
      <alignment horizontal="center" vertical="center" shrinkToFit="1"/>
    </xf>
    <xf numFmtId="209" fontId="35" fillId="23" borderId="109" xfId="0" applyNumberFormat="1" applyFont="1" applyFill="1" applyBorder="1" applyAlignment="1">
      <alignment horizontal="center" vertical="center" shrinkToFit="1"/>
    </xf>
    <xf numFmtId="209" fontId="35" fillId="23" borderId="106" xfId="0" applyNumberFormat="1" applyFont="1" applyFill="1" applyBorder="1" applyAlignment="1">
      <alignment horizontal="center" vertical="center" shrinkToFit="1"/>
    </xf>
    <xf numFmtId="0" fontId="35" fillId="23" borderId="110" xfId="0" applyFont="1" applyFill="1" applyBorder="1" applyAlignment="1">
      <alignment horizontal="center" vertical="center" shrinkToFit="1"/>
    </xf>
    <xf numFmtId="0" fontId="35" fillId="23" borderId="111" xfId="0" applyFont="1" applyFill="1" applyBorder="1" applyAlignment="1">
      <alignment horizontal="center" vertical="center" shrinkToFit="1"/>
    </xf>
    <xf numFmtId="213" fontId="29" fillId="0" borderId="112" xfId="0" applyNumberFormat="1" applyFont="1" applyFill="1" applyBorder="1" applyAlignment="1">
      <alignment horizontal="center" vertical="center"/>
    </xf>
    <xf numFmtId="0" fontId="29" fillId="21" borderId="112" xfId="0" applyNumberFormat="1" applyFont="1" applyFill="1" applyBorder="1" applyAlignment="1">
      <alignment horizontal="center" vertical="center" shrinkToFit="1"/>
    </xf>
    <xf numFmtId="0" fontId="29" fillId="0" borderId="93" xfId="0" applyNumberFormat="1" applyFont="1" applyFill="1" applyBorder="1" applyAlignment="1">
      <alignment horizontal="center" vertical="center"/>
    </xf>
    <xf numFmtId="0" fontId="29" fillId="0" borderId="99" xfId="0" applyNumberFormat="1" applyFont="1" applyFill="1" applyBorder="1" applyAlignment="1">
      <alignment horizontal="center" vertical="center"/>
    </xf>
    <xf numFmtId="0" fontId="29" fillId="0" borderId="100" xfId="0" applyNumberFormat="1" applyFont="1" applyFill="1" applyBorder="1" applyAlignment="1">
      <alignment horizontal="center" vertical="center"/>
    </xf>
    <xf numFmtId="0" fontId="42" fillId="24" borderId="113" xfId="0" applyFont="1" applyFill="1" applyBorder="1" applyAlignment="1">
      <alignment horizontal="center" vertical="center"/>
    </xf>
    <xf numFmtId="0" fontId="42" fillId="24" borderId="114" xfId="0" applyFont="1" applyFill="1" applyBorder="1" applyAlignment="1">
      <alignment horizontal="center" vertical="center"/>
    </xf>
    <xf numFmtId="217" fontId="29" fillId="7" borderId="19" xfId="0" applyNumberFormat="1" applyFont="1" applyFill="1" applyBorder="1" applyAlignment="1">
      <alignment horizontal="left" vertical="center"/>
    </xf>
    <xf numFmtId="217" fontId="29" fillId="7" borderId="115" xfId="0" applyNumberFormat="1" applyFont="1" applyFill="1" applyBorder="1" applyAlignment="1">
      <alignment horizontal="left" vertical="center"/>
    </xf>
    <xf numFmtId="216" fontId="29" fillId="7" borderId="18" xfId="0" applyNumberFormat="1" applyFont="1" applyFill="1" applyBorder="1" applyAlignment="1">
      <alignment vertical="center"/>
    </xf>
    <xf numFmtId="216" fontId="29" fillId="7" borderId="19" xfId="0" applyNumberFormat="1" applyFont="1" applyFill="1" applyBorder="1" applyAlignment="1">
      <alignment vertical="center"/>
    </xf>
    <xf numFmtId="213" fontId="29" fillId="0" borderId="116" xfId="0" applyNumberFormat="1" applyFont="1" applyFill="1" applyBorder="1" applyAlignment="1">
      <alignment horizontal="center" vertical="center"/>
    </xf>
    <xf numFmtId="0" fontId="29" fillId="21" borderId="116" xfId="0" applyNumberFormat="1" applyFont="1" applyFill="1" applyBorder="1" applyAlignment="1">
      <alignment horizontal="center" vertical="center" shrinkToFit="1"/>
    </xf>
    <xf numFmtId="0" fontId="29" fillId="0" borderId="86" xfId="0" applyNumberFormat="1" applyFont="1" applyFill="1" applyBorder="1" applyAlignment="1">
      <alignment horizontal="center" vertical="center"/>
    </xf>
    <xf numFmtId="0" fontId="29" fillId="0" borderId="74" xfId="0" applyNumberFormat="1" applyFont="1" applyFill="1" applyBorder="1" applyAlignment="1">
      <alignment horizontal="center" vertical="center"/>
    </xf>
    <xf numFmtId="0" fontId="29" fillId="0" borderId="85" xfId="0" applyNumberFormat="1" applyFont="1" applyFill="1" applyBorder="1" applyAlignment="1">
      <alignment horizontal="center" vertical="center"/>
    </xf>
    <xf numFmtId="0" fontId="42" fillId="19" borderId="73" xfId="0" applyFont="1" applyFill="1" applyBorder="1" applyAlignment="1">
      <alignment horizontal="center" vertical="center"/>
    </xf>
    <xf numFmtId="0" fontId="42" fillId="19" borderId="87" xfId="0" applyFont="1" applyFill="1" applyBorder="1" applyAlignment="1">
      <alignment horizontal="center" vertical="center"/>
    </xf>
    <xf numFmtId="0" fontId="29" fillId="0" borderId="95" xfId="0" applyNumberFormat="1" applyFont="1" applyFill="1" applyBorder="1" applyAlignment="1">
      <alignment horizontal="center" vertical="center"/>
    </xf>
    <xf numFmtId="0" fontId="29" fillId="21" borderId="117" xfId="0" applyNumberFormat="1" applyFont="1" applyFill="1" applyBorder="1" applyAlignment="1">
      <alignment horizontal="center" vertical="center" shrinkToFit="1"/>
    </xf>
    <xf numFmtId="213" fontId="29" fillId="0" borderId="117" xfId="0" applyNumberFormat="1" applyFont="1" applyFill="1" applyBorder="1" applyAlignment="1">
      <alignment horizontal="center" vertical="center"/>
    </xf>
    <xf numFmtId="216" fontId="29" fillId="26" borderId="15" xfId="0" applyNumberFormat="1" applyFont="1" applyFill="1" applyBorder="1" applyAlignment="1">
      <alignment vertical="center"/>
    </xf>
    <xf numFmtId="216" fontId="29" fillId="26" borderId="16" xfId="0" applyNumberFormat="1" applyFont="1" applyFill="1" applyBorder="1" applyAlignment="1">
      <alignment vertical="center"/>
    </xf>
    <xf numFmtId="217" fontId="29" fillId="4" borderId="118" xfId="0" applyNumberFormat="1" applyFont="1" applyFill="1" applyBorder="1" applyAlignment="1">
      <alignment horizontal="left" vertical="center"/>
    </xf>
    <xf numFmtId="217" fontId="29" fillId="4" borderId="119" xfId="0" applyNumberFormat="1" applyFont="1" applyFill="1" applyBorder="1" applyAlignment="1">
      <alignment horizontal="left" vertical="center"/>
    </xf>
    <xf numFmtId="216" fontId="29" fillId="4" borderId="120" xfId="0" applyNumberFormat="1" applyFont="1" applyFill="1" applyBorder="1" applyAlignment="1">
      <alignment vertical="center"/>
    </xf>
    <xf numFmtId="216" fontId="29" fillId="4" borderId="118" xfId="0" applyNumberFormat="1" applyFont="1" applyFill="1" applyBorder="1" applyAlignment="1">
      <alignment vertical="center"/>
    </xf>
    <xf numFmtId="217" fontId="29" fillId="26" borderId="16" xfId="0" applyNumberFormat="1" applyFont="1" applyFill="1" applyBorder="1" applyAlignment="1">
      <alignment horizontal="left" vertical="center"/>
    </xf>
    <xf numFmtId="217" fontId="29" fillId="26" borderId="121" xfId="0" applyNumberFormat="1" applyFont="1" applyFill="1" applyBorder="1" applyAlignment="1">
      <alignment horizontal="left" vertical="center"/>
    </xf>
    <xf numFmtId="220" fontId="26" fillId="0" borderId="0" xfId="0" applyNumberFormat="1" applyFont="1" applyAlignment="1">
      <alignment vertical="center"/>
    </xf>
    <xf numFmtId="0" fontId="29" fillId="0" borderId="21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vertical="center"/>
    </xf>
    <xf numFmtId="221" fontId="29" fillId="0" borderId="122" xfId="0" applyNumberFormat="1" applyFont="1" applyBorder="1" applyAlignment="1" quotePrefix="1">
      <alignment vertical="center"/>
    </xf>
    <xf numFmtId="221" fontId="29" fillId="0" borderId="14" xfId="0" applyNumberFormat="1" applyFont="1" applyBorder="1" applyAlignment="1">
      <alignment vertical="center"/>
    </xf>
    <xf numFmtId="221" fontId="29" fillId="0" borderId="12" xfId="0" applyNumberFormat="1" applyFont="1" applyBorder="1" applyAlignment="1">
      <alignment horizontal="right" vertical="center"/>
    </xf>
    <xf numFmtId="221" fontId="29" fillId="0" borderId="0" xfId="0" applyNumberFormat="1" applyFont="1" applyBorder="1" applyAlignment="1">
      <alignment horizontal="right" vertical="center"/>
    </xf>
    <xf numFmtId="0" fontId="45" fillId="0" borderId="12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222" fontId="29" fillId="0" borderId="12" xfId="0" applyNumberFormat="1" applyFont="1" applyBorder="1" applyAlignment="1">
      <alignment horizontal="right" vertical="center"/>
    </xf>
    <xf numFmtId="222" fontId="29" fillId="0" borderId="0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ritudaen_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125"/>
          <c:w val="0.77925"/>
          <c:h val="0.86125"/>
        </c:manualLayout>
      </c:layout>
      <c:scatterChart>
        <c:scatterStyle val="lineMarker"/>
        <c:varyColors val="0"/>
        <c:ser>
          <c:idx val="3"/>
          <c:order val="0"/>
          <c:tx>
            <c:strRef>
              <c:f>Graph_Data!$J$7</c:f>
              <c:strCache>
                <c:ptCount val="1"/>
                <c:pt idx="0">
                  <c:v>２階_1cm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Graph_Data!$J$11:$J$226</c:f>
              <c:numCache>
                <c:ptCount val="216"/>
                <c:pt idx="0">
                  <c:v>1.0620721730716116</c:v>
                </c:pt>
                <c:pt idx="22">
                  <c:v>0.999805534662786</c:v>
                </c:pt>
                <c:pt idx="44">
                  <c:v>0.9643094088727537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Graph_Data!$AB$7</c:f>
              <c:strCache>
                <c:ptCount val="1"/>
                <c:pt idx="0">
                  <c:v>２階_1cm近似直線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Graph_Data!$AB$11:$AB$226</c:f>
              <c:numCache>
                <c:ptCount val="216"/>
                <c:pt idx="91">
                  <c:v>1.2016986618451517</c:v>
                </c:pt>
                <c:pt idx="92">
                  <c:v>-2.732189047476947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Graph_Data!$S$7</c:f>
              <c:strCache>
                <c:ptCount val="1"/>
                <c:pt idx="0">
                  <c:v>２階_1cm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Graph_Data!$S$11:$S$226</c:f>
              <c:numCache>
                <c:ptCount val="216"/>
                <c:pt idx="0">
                  <c:v>1.0374264979406236</c:v>
                </c:pt>
                <c:pt idx="1">
                  <c:v>1.1172712956557642</c:v>
                </c:pt>
                <c:pt idx="2">
                  <c:v>1.0492180226701815</c:v>
                </c:pt>
                <c:pt idx="3">
                  <c:v>1.0293837776852097</c:v>
                </c:pt>
                <c:pt idx="4">
                  <c:v>1.0863598306747482</c:v>
                </c:pt>
                <c:pt idx="5">
                  <c:v>1.0969100130080565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1.0718820073061255</c:v>
                </c:pt>
                <c:pt idx="9">
                  <c:v>1.0791812460476249</c:v>
                </c:pt>
                <c:pt idx="10">
                  <c:v>1.0334237554869496</c:v>
                </c:pt>
                <c:pt idx="11">
                  <c:v>1.0606978403536116</c:v>
                </c:pt>
                <c:pt idx="12">
                  <c:v>1.0530784434834197</c:v>
                </c:pt>
                <c:pt idx="13">
                  <c:v>1.0492180226701815</c:v>
                </c:pt>
                <c:pt idx="14">
                  <c:v>1.0530784434834197</c:v>
                </c:pt>
                <c:pt idx="15">
                  <c:v>1.0374264979406236</c:v>
                </c:pt>
                <c:pt idx="16">
                  <c:v>1.0453229787866574</c:v>
                </c:pt>
                <c:pt idx="17">
                  <c:v>1.0530784434834197</c:v>
                </c:pt>
                <c:pt idx="18">
                  <c:v>1.0934216851622351</c:v>
                </c:pt>
                <c:pt idx="19">
                  <c:v>1.0569048513364727</c:v>
                </c:pt>
                <c:pt idx="20">
                  <c:v>1.0293837776852097</c:v>
                </c:pt>
                <c:pt idx="22">
                  <c:v>1.0334237554869496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0.9943171526696367</c:v>
                </c:pt>
                <c:pt idx="27">
                  <c:v>0.9969492484953811</c:v>
                </c:pt>
                <c:pt idx="28">
                  <c:v>0.9956351945975499</c:v>
                </c:pt>
                <c:pt idx="29">
                  <c:v>0.9960736544852753</c:v>
                </c:pt>
                <c:pt idx="30">
                  <c:v>0.9965116721541787</c:v>
                </c:pt>
                <c:pt idx="31">
                  <c:v>0.9965116721541787</c:v>
                </c:pt>
                <c:pt idx="32">
                  <c:v>1</c:v>
                </c:pt>
                <c:pt idx="33">
                  <c:v>0.9991305412873711</c:v>
                </c:pt>
                <c:pt idx="34">
                  <c:v>0.9973863843973133</c:v>
                </c:pt>
                <c:pt idx="35">
                  <c:v>0.9956351945975499</c:v>
                </c:pt>
                <c:pt idx="36">
                  <c:v>0.9978230807457255</c:v>
                </c:pt>
                <c:pt idx="37">
                  <c:v>0.9982593384236987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0.9982593384236987</c:v>
                </c:pt>
                <c:pt idx="44">
                  <c:v>0.8228216453031046</c:v>
                </c:pt>
                <c:pt idx="45">
                  <c:v>0.8992731873176038</c:v>
                </c:pt>
                <c:pt idx="46">
                  <c:v>0.9100905455940682</c:v>
                </c:pt>
                <c:pt idx="47">
                  <c:v>0.9036325160842377</c:v>
                </c:pt>
                <c:pt idx="48">
                  <c:v>1.0253058652647702</c:v>
                </c:pt>
                <c:pt idx="49">
                  <c:v>1.021189299069938</c:v>
                </c:pt>
                <c:pt idx="50">
                  <c:v>1.0253058652647702</c:v>
                </c:pt>
                <c:pt idx="51">
                  <c:v>1.021189299069938</c:v>
                </c:pt>
                <c:pt idx="52">
                  <c:v>1.0128372247051722</c:v>
                </c:pt>
                <c:pt idx="53">
                  <c:v>1.0170333392987803</c:v>
                </c:pt>
                <c:pt idx="54">
                  <c:v>0.9074113607745862</c:v>
                </c:pt>
                <c:pt idx="55">
                  <c:v>0.9703468762300933</c:v>
                </c:pt>
                <c:pt idx="56">
                  <c:v>0.967547976218862</c:v>
                </c:pt>
                <c:pt idx="57">
                  <c:v>0.9434945159061026</c:v>
                </c:pt>
                <c:pt idx="58">
                  <c:v>0.9122220565324155</c:v>
                </c:pt>
                <c:pt idx="59">
                  <c:v>0.9164539485499251</c:v>
                </c:pt>
                <c:pt idx="60">
                  <c:v>0.9689496809813426</c:v>
                </c:pt>
                <c:pt idx="61">
                  <c:v>0.9840770339028309</c:v>
                </c:pt>
                <c:pt idx="62">
                  <c:v>1.0569048513364727</c:v>
                </c:pt>
                <c:pt idx="63">
                  <c:v>0.8709888137605752</c:v>
                </c:pt>
                <c:pt idx="64">
                  <c:v>1.0934216851622351</c:v>
                </c:pt>
              </c:numCache>
            </c:numRef>
          </c:yVal>
          <c:smooth val="0"/>
        </c:ser>
        <c:axId val="29927720"/>
        <c:axId val="914025"/>
      </c:scatterChart>
      <c:valAx>
        <c:axId val="29927720"/>
        <c:scaling>
          <c:orientation val="minMax"/>
          <c:max val="41101"/>
          <c:min val="40827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14025"/>
        <c:crosses val="autoZero"/>
        <c:crossBetween val="midCat"/>
        <c:dispUnits/>
        <c:majorUnit val="60"/>
      </c:valAx>
      <c:valAx>
        <c:axId val="914025"/>
        <c:scaling>
          <c:orientation val="minMax"/>
          <c:max val="1.1"/>
          <c:min val="0.85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277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125"/>
          <c:w val="0.779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Graph_Data!$G$7</c:f>
              <c:strCache>
                <c:ptCount val="1"/>
                <c:pt idx="0">
                  <c:v>１階_1cm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Graph_Data!$G$11:$G$226</c:f>
              <c:numCache>
                <c:ptCount val="216"/>
                <c:pt idx="0">
                  <c:v>1.0005400756002965</c:v>
                </c:pt>
                <c:pt idx="22">
                  <c:v>1.0452585029061086</c:v>
                </c:pt>
                <c:pt idx="44">
                  <c:v>0.8622351608625092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Graph_Data!$Y$7</c:f>
              <c:strCache>
                <c:ptCount val="1"/>
                <c:pt idx="0">
                  <c:v>１階_1cm近似直線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Graph_Data!$Y$11:$Y$226</c:f>
              <c:numCache>
                <c:ptCount val="216"/>
                <c:pt idx="91">
                  <c:v>1.2010007965251281</c:v>
                </c:pt>
                <c:pt idx="92">
                  <c:v>-3.521553612552327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Graph_Data!$P$7</c:f>
              <c:strCache>
                <c:ptCount val="1"/>
                <c:pt idx="0">
                  <c:v>１階_1cm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Graph_Data!$P$11:$P$226</c:f>
              <c:numCache>
                <c:ptCount val="216"/>
                <c:pt idx="0">
                  <c:v>0.893206753059848</c:v>
                </c:pt>
                <c:pt idx="1">
                  <c:v>0.8920946026904804</c:v>
                </c:pt>
                <c:pt idx="2">
                  <c:v>0.9084850188786497</c:v>
                </c:pt>
                <c:pt idx="3">
                  <c:v>1.0253058652647702</c:v>
                </c:pt>
                <c:pt idx="4">
                  <c:v>1.0863598306747482</c:v>
                </c:pt>
                <c:pt idx="5">
                  <c:v>1.0969100130080565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0.9444826721501687</c:v>
                </c:pt>
                <c:pt idx="9">
                  <c:v>0.9180303367848801</c:v>
                </c:pt>
                <c:pt idx="10">
                  <c:v>1.0293837776852097</c:v>
                </c:pt>
                <c:pt idx="11">
                  <c:v>1.0374264979406236</c:v>
                </c:pt>
                <c:pt idx="12">
                  <c:v>1.0413926851582251</c:v>
                </c:pt>
                <c:pt idx="13">
                  <c:v>0.9025467793139914</c:v>
                </c:pt>
                <c:pt idx="14">
                  <c:v>1.0207754881935578</c:v>
                </c:pt>
                <c:pt idx="15">
                  <c:v>1.0413926851582251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2">
                  <c:v>1.0293837776852097</c:v>
                </c:pt>
                <c:pt idx="23">
                  <c:v>1.0413926851582251</c:v>
                </c:pt>
                <c:pt idx="24">
                  <c:v>1.0681858617461617</c:v>
                </c:pt>
                <c:pt idx="25">
                  <c:v>1.0128372247051722</c:v>
                </c:pt>
                <c:pt idx="26">
                  <c:v>1.0791812460476249</c:v>
                </c:pt>
                <c:pt idx="27">
                  <c:v>1.089905111439398</c:v>
                </c:pt>
                <c:pt idx="28">
                  <c:v>1.1271047983648077</c:v>
                </c:pt>
                <c:pt idx="29">
                  <c:v>1.1205739312058498</c:v>
                </c:pt>
                <c:pt idx="30">
                  <c:v>1.021189299069938</c:v>
                </c:pt>
                <c:pt idx="31">
                  <c:v>1.021189299069938</c:v>
                </c:pt>
                <c:pt idx="32">
                  <c:v>1.0086001717619175</c:v>
                </c:pt>
                <c:pt idx="33">
                  <c:v>1.0043213737826426</c:v>
                </c:pt>
                <c:pt idx="34">
                  <c:v>1</c:v>
                </c:pt>
                <c:pt idx="35">
                  <c:v>1.0334237554869496</c:v>
                </c:pt>
                <c:pt idx="36">
                  <c:v>1.0334237554869496</c:v>
                </c:pt>
                <c:pt idx="37">
                  <c:v>1.0334237554869496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4">
                  <c:v>0.8095597146352678</c:v>
                </c:pt>
                <c:pt idx="45">
                  <c:v>0.8142475957319202</c:v>
                </c:pt>
                <c:pt idx="46">
                  <c:v>0.829303772831025</c:v>
                </c:pt>
                <c:pt idx="47">
                  <c:v>0.7109631189952758</c:v>
                </c:pt>
                <c:pt idx="48">
                  <c:v>0.8639173769578604</c:v>
                </c:pt>
                <c:pt idx="49">
                  <c:v>0.8943160626844384</c:v>
                </c:pt>
                <c:pt idx="50">
                  <c:v>0.9740509027928773</c:v>
                </c:pt>
                <c:pt idx="51">
                  <c:v>0.9566485792052033</c:v>
                </c:pt>
                <c:pt idx="52">
                  <c:v>0.8739015978644614</c:v>
                </c:pt>
                <c:pt idx="53">
                  <c:v>0.8369567370595504</c:v>
                </c:pt>
                <c:pt idx="54">
                  <c:v>0.8195439355418687</c:v>
                </c:pt>
                <c:pt idx="55">
                  <c:v>0.8432327780980095</c:v>
                </c:pt>
                <c:pt idx="56">
                  <c:v>0.8375884382355113</c:v>
                </c:pt>
                <c:pt idx="57">
                  <c:v>0.8142475957319202</c:v>
                </c:pt>
                <c:pt idx="58">
                  <c:v>0.9400181550076633</c:v>
                </c:pt>
                <c:pt idx="59">
                  <c:v>0.9772662124272927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yVal>
          <c:smooth val="0"/>
        </c:ser>
        <c:axId val="8226226"/>
        <c:axId val="6927171"/>
      </c:scatterChart>
      <c:valAx>
        <c:axId val="8226226"/>
        <c:scaling>
          <c:orientation val="minMax"/>
          <c:max val="41101"/>
          <c:min val="40827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927171"/>
        <c:crosses val="autoZero"/>
        <c:crossBetween val="midCat"/>
        <c:dispUnits/>
        <c:majorUnit val="60"/>
      </c:valAx>
      <c:valAx>
        <c:axId val="6927171"/>
        <c:scaling>
          <c:orientation val="minMax"/>
          <c:max val="1.1"/>
          <c:min val="0.85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26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125"/>
          <c:w val="0.77925"/>
          <c:h val="0.86125"/>
        </c:manualLayout>
      </c:layout>
      <c:scatterChart>
        <c:scatterStyle val="lineMarker"/>
        <c:varyColors val="0"/>
        <c:ser>
          <c:idx val="4"/>
          <c:order val="0"/>
          <c:tx>
            <c:strRef>
              <c:f>Graph_Data!$K$7</c:f>
              <c:strCache>
                <c:ptCount val="1"/>
                <c:pt idx="0">
                  <c:v>２階_1m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Graph_Data!$K$11:$K$226</c:f>
              <c:numCache>
                <c:ptCount val="216"/>
                <c:pt idx="0">
                  <c:v>1.0590380810974311</c:v>
                </c:pt>
                <c:pt idx="22">
                  <c:v>0.9997220181119092</c:v>
                </c:pt>
                <c:pt idx="44">
                  <c:v>0.9757996733567778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12"/>
          <c:order val="3"/>
          <c:tx>
            <c:strRef>
              <c:f>Graph_Data!$AC$7</c:f>
              <c:strCache>
                <c:ptCount val="1"/>
                <c:pt idx="0">
                  <c:v>２階_1m近似直線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Graph_Data!$AC$11:$AC$226</c:f>
              <c:numCache>
                <c:ptCount val="216"/>
                <c:pt idx="91">
                  <c:v>1.1777815761006116</c:v>
                </c:pt>
                <c:pt idx="92">
                  <c:v>-2.211636192875583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Graph_Data!$T$7</c:f>
              <c:strCache>
                <c:ptCount val="1"/>
                <c:pt idx="0">
                  <c:v>２階_1m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Graph_Data!$T$11:$T$226</c:f>
              <c:numCache>
                <c:ptCount val="216"/>
                <c:pt idx="0">
                  <c:v>1.0413926851582251</c:v>
                </c:pt>
                <c:pt idx="1">
                  <c:v>1.0644579892269184</c:v>
                </c:pt>
                <c:pt idx="2">
                  <c:v>1.0334237554869496</c:v>
                </c:pt>
                <c:pt idx="3">
                  <c:v>1.0334237554869496</c:v>
                </c:pt>
                <c:pt idx="4">
                  <c:v>1.08278537031645</c:v>
                </c:pt>
                <c:pt idx="5">
                  <c:v>1.0934216851622351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1.0718820073061255</c:v>
                </c:pt>
                <c:pt idx="9">
                  <c:v>1.0718820073061255</c:v>
                </c:pt>
                <c:pt idx="10">
                  <c:v>1.0334237554869496</c:v>
                </c:pt>
                <c:pt idx="11">
                  <c:v>1.0606978403536116</c:v>
                </c:pt>
                <c:pt idx="12">
                  <c:v>1.0530784434834197</c:v>
                </c:pt>
                <c:pt idx="13">
                  <c:v>1.0492180226701815</c:v>
                </c:pt>
                <c:pt idx="14">
                  <c:v>1.0530784434834197</c:v>
                </c:pt>
                <c:pt idx="15">
                  <c:v>1.0413926851582251</c:v>
                </c:pt>
                <c:pt idx="16">
                  <c:v>1.0453229787866574</c:v>
                </c:pt>
                <c:pt idx="17">
                  <c:v>1.0530784434834197</c:v>
                </c:pt>
                <c:pt idx="18">
                  <c:v>1.0969100130080565</c:v>
                </c:pt>
                <c:pt idx="19">
                  <c:v>1.0606978403536116</c:v>
                </c:pt>
                <c:pt idx="20">
                  <c:v>1.0293837776852097</c:v>
                </c:pt>
                <c:pt idx="22">
                  <c:v>1.0334237554869496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0.9947569445876282</c:v>
                </c:pt>
                <c:pt idx="27">
                  <c:v>0.9965116721541787</c:v>
                </c:pt>
                <c:pt idx="28">
                  <c:v>0.9943171526696367</c:v>
                </c:pt>
                <c:pt idx="29">
                  <c:v>0.9956351945975499</c:v>
                </c:pt>
                <c:pt idx="30">
                  <c:v>0.9965116721541787</c:v>
                </c:pt>
                <c:pt idx="31">
                  <c:v>0.9965116721541787</c:v>
                </c:pt>
                <c:pt idx="32">
                  <c:v>1</c:v>
                </c:pt>
                <c:pt idx="33">
                  <c:v>0.9991305412873711</c:v>
                </c:pt>
                <c:pt idx="34">
                  <c:v>0.9978230807457255</c:v>
                </c:pt>
                <c:pt idx="35">
                  <c:v>0.9956351945975499</c:v>
                </c:pt>
                <c:pt idx="36">
                  <c:v>0.9978230807457255</c:v>
                </c:pt>
                <c:pt idx="37">
                  <c:v>0.9978230807457255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0.9982593384236987</c:v>
                </c:pt>
                <c:pt idx="44">
                  <c:v>0.8234742291703011</c:v>
                </c:pt>
                <c:pt idx="45">
                  <c:v>0.8904210188009143</c:v>
                </c:pt>
                <c:pt idx="46">
                  <c:v>0.9106244048892013</c:v>
                </c:pt>
                <c:pt idx="47">
                  <c:v>0.9003671286564703</c:v>
                </c:pt>
                <c:pt idx="48">
                  <c:v>1.0253058652647702</c:v>
                </c:pt>
                <c:pt idx="49">
                  <c:v>1.0253058652647702</c:v>
                </c:pt>
                <c:pt idx="50">
                  <c:v>1.021189299069938</c:v>
                </c:pt>
                <c:pt idx="51">
                  <c:v>1.0374264979406236</c:v>
                </c:pt>
                <c:pt idx="52">
                  <c:v>1.0128372247051722</c:v>
                </c:pt>
                <c:pt idx="53">
                  <c:v>1.0170333392987803</c:v>
                </c:pt>
                <c:pt idx="54">
                  <c:v>0.9095560292411753</c:v>
                </c:pt>
                <c:pt idx="55">
                  <c:v>0.9652017010259121</c:v>
                </c:pt>
                <c:pt idx="56">
                  <c:v>0.9666109866819343</c:v>
                </c:pt>
                <c:pt idx="57">
                  <c:v>0.9420080530223133</c:v>
                </c:pt>
                <c:pt idx="58">
                  <c:v>0.912753303671323</c:v>
                </c:pt>
                <c:pt idx="59">
                  <c:v>0.9731278535996987</c:v>
                </c:pt>
                <c:pt idx="60">
                  <c:v>0.9758911364017928</c:v>
                </c:pt>
                <c:pt idx="61">
                  <c:v>0.9934362304976118</c:v>
                </c:pt>
                <c:pt idx="62">
                  <c:v>1.0755469613925308</c:v>
                </c:pt>
                <c:pt idx="63">
                  <c:v>1.0644579892269184</c:v>
                </c:pt>
                <c:pt idx="64">
                  <c:v>1.0492180226701815</c:v>
                </c:pt>
              </c:numCache>
            </c:numRef>
          </c:yVal>
          <c:smooth val="0"/>
        </c:ser>
        <c:axId val="62344540"/>
        <c:axId val="24229949"/>
      </c:scatterChart>
      <c:valAx>
        <c:axId val="62344540"/>
        <c:scaling>
          <c:orientation val="minMax"/>
          <c:max val="41101"/>
          <c:min val="40827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229949"/>
        <c:crosses val="autoZero"/>
        <c:crossBetween val="midCat"/>
        <c:dispUnits/>
        <c:majorUnit val="60"/>
      </c:valAx>
      <c:valAx>
        <c:axId val="24229949"/>
        <c:scaling>
          <c:orientation val="minMax"/>
          <c:max val="1.1"/>
          <c:min val="0.85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445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125"/>
          <c:w val="0.77925"/>
          <c:h val="0.86125"/>
        </c:manualLayout>
      </c:layout>
      <c:scatterChart>
        <c:scatterStyle val="lineMarker"/>
        <c:varyColors val="0"/>
        <c:ser>
          <c:idx val="5"/>
          <c:order val="0"/>
          <c:tx>
            <c:strRef>
              <c:f>Graph_Data!$L$7</c:f>
              <c:strCache>
                <c:ptCount val="1"/>
                <c:pt idx="0">
                  <c:v>２階_2m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Graph_Data!$L$11:$L$226</c:f>
              <c:numCache>
                <c:ptCount val="216"/>
                <c:pt idx="0">
                  <c:v>1.0749963258236386</c:v>
                </c:pt>
                <c:pt idx="22">
                  <c:v>0.9998893835519896</c:v>
                </c:pt>
                <c:pt idx="44">
                  <c:v>0.982420600295685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Graph_Data!$AD$7</c:f>
              <c:strCache>
                <c:ptCount val="1"/>
                <c:pt idx="0">
                  <c:v>２階_2m近似直線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Graph_Data!$AD$11:$AD$226</c:f>
              <c:numCache>
                <c:ptCount val="216"/>
                <c:pt idx="91">
                  <c:v>1.2068582758855488</c:v>
                </c:pt>
                <c:pt idx="92">
                  <c:v>-2.6207477928426917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Graph_Data!$U$7</c:f>
              <c:strCache>
                <c:ptCount val="1"/>
                <c:pt idx="0">
                  <c:v>２階_2m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Graph_Data!$T$11:$T$226</c:f>
              <c:numCache>
                <c:ptCount val="216"/>
                <c:pt idx="0">
                  <c:v>1.0413926851582251</c:v>
                </c:pt>
                <c:pt idx="1">
                  <c:v>1.0644579892269184</c:v>
                </c:pt>
                <c:pt idx="2">
                  <c:v>1.0334237554869496</c:v>
                </c:pt>
                <c:pt idx="3">
                  <c:v>1.0334237554869496</c:v>
                </c:pt>
                <c:pt idx="4">
                  <c:v>1.08278537031645</c:v>
                </c:pt>
                <c:pt idx="5">
                  <c:v>1.0934216851622351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1.0718820073061255</c:v>
                </c:pt>
                <c:pt idx="9">
                  <c:v>1.0718820073061255</c:v>
                </c:pt>
                <c:pt idx="10">
                  <c:v>1.0334237554869496</c:v>
                </c:pt>
                <c:pt idx="11">
                  <c:v>1.0606978403536116</c:v>
                </c:pt>
                <c:pt idx="12">
                  <c:v>1.0530784434834197</c:v>
                </c:pt>
                <c:pt idx="13">
                  <c:v>1.0492180226701815</c:v>
                </c:pt>
                <c:pt idx="14">
                  <c:v>1.0530784434834197</c:v>
                </c:pt>
                <c:pt idx="15">
                  <c:v>1.0413926851582251</c:v>
                </c:pt>
                <c:pt idx="16">
                  <c:v>1.0453229787866574</c:v>
                </c:pt>
                <c:pt idx="17">
                  <c:v>1.0530784434834197</c:v>
                </c:pt>
                <c:pt idx="18">
                  <c:v>1.0969100130080565</c:v>
                </c:pt>
                <c:pt idx="19">
                  <c:v>1.0606978403536116</c:v>
                </c:pt>
                <c:pt idx="20">
                  <c:v>1.0293837776852097</c:v>
                </c:pt>
                <c:pt idx="22">
                  <c:v>1.0334237554869496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0.9947569445876282</c:v>
                </c:pt>
                <c:pt idx="27">
                  <c:v>0.9965116721541787</c:v>
                </c:pt>
                <c:pt idx="28">
                  <c:v>0.9943171526696367</c:v>
                </c:pt>
                <c:pt idx="29">
                  <c:v>0.9956351945975499</c:v>
                </c:pt>
                <c:pt idx="30">
                  <c:v>0.9965116721541787</c:v>
                </c:pt>
                <c:pt idx="31">
                  <c:v>0.9965116721541787</c:v>
                </c:pt>
                <c:pt idx="32">
                  <c:v>1</c:v>
                </c:pt>
                <c:pt idx="33">
                  <c:v>0.9991305412873711</c:v>
                </c:pt>
                <c:pt idx="34">
                  <c:v>0.9978230807457255</c:v>
                </c:pt>
                <c:pt idx="35">
                  <c:v>0.9956351945975499</c:v>
                </c:pt>
                <c:pt idx="36">
                  <c:v>0.9978230807457255</c:v>
                </c:pt>
                <c:pt idx="37">
                  <c:v>0.9978230807457255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0.9982593384236987</c:v>
                </c:pt>
                <c:pt idx="44">
                  <c:v>0.8234742291703011</c:v>
                </c:pt>
                <c:pt idx="45">
                  <c:v>0.8904210188009143</c:v>
                </c:pt>
                <c:pt idx="46">
                  <c:v>0.9106244048892013</c:v>
                </c:pt>
                <c:pt idx="47">
                  <c:v>0.9003671286564703</c:v>
                </c:pt>
                <c:pt idx="48">
                  <c:v>1.0253058652647702</c:v>
                </c:pt>
                <c:pt idx="49">
                  <c:v>1.0253058652647702</c:v>
                </c:pt>
                <c:pt idx="50">
                  <c:v>1.021189299069938</c:v>
                </c:pt>
                <c:pt idx="51">
                  <c:v>1.0374264979406236</c:v>
                </c:pt>
                <c:pt idx="52">
                  <c:v>1.0128372247051722</c:v>
                </c:pt>
                <c:pt idx="53">
                  <c:v>1.0170333392987803</c:v>
                </c:pt>
                <c:pt idx="54">
                  <c:v>0.9095560292411753</c:v>
                </c:pt>
                <c:pt idx="55">
                  <c:v>0.9652017010259121</c:v>
                </c:pt>
                <c:pt idx="56">
                  <c:v>0.9666109866819343</c:v>
                </c:pt>
                <c:pt idx="57">
                  <c:v>0.9420080530223133</c:v>
                </c:pt>
                <c:pt idx="58">
                  <c:v>0.912753303671323</c:v>
                </c:pt>
                <c:pt idx="59">
                  <c:v>0.9731278535996987</c:v>
                </c:pt>
                <c:pt idx="60">
                  <c:v>0.9758911364017928</c:v>
                </c:pt>
                <c:pt idx="61">
                  <c:v>0.9934362304976118</c:v>
                </c:pt>
                <c:pt idx="62">
                  <c:v>1.0755469613925308</c:v>
                </c:pt>
                <c:pt idx="63">
                  <c:v>1.0644579892269184</c:v>
                </c:pt>
                <c:pt idx="64">
                  <c:v>1.0492180226701815</c:v>
                </c:pt>
              </c:numCache>
            </c:numRef>
          </c:yVal>
          <c:smooth val="0"/>
        </c:ser>
        <c:axId val="16742950"/>
        <c:axId val="16468823"/>
      </c:scatterChart>
      <c:valAx>
        <c:axId val="16742950"/>
        <c:scaling>
          <c:orientation val="minMax"/>
          <c:max val="41101"/>
          <c:min val="40827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68823"/>
        <c:crosses val="autoZero"/>
        <c:crossBetween val="midCat"/>
        <c:dispUnits/>
        <c:majorUnit val="60"/>
      </c:valAx>
      <c:valAx>
        <c:axId val="16468823"/>
        <c:scaling>
          <c:orientation val="minMax"/>
          <c:max val="1.1"/>
          <c:min val="0.85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429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125"/>
          <c:w val="0.77925"/>
          <c:h val="0.86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Graph_Data!$H$7</c:f>
              <c:strCache>
                <c:ptCount val="1"/>
                <c:pt idx="0">
                  <c:v>１階_1m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Graph_Data!$H$11:$H$226</c:f>
              <c:numCache>
                <c:ptCount val="216"/>
                <c:pt idx="0">
                  <c:v>0.998299376987462</c:v>
                </c:pt>
                <c:pt idx="22">
                  <c:v>1.0453636342741977</c:v>
                </c:pt>
                <c:pt idx="44">
                  <c:v>0.880406571492704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9"/>
          <c:order val="3"/>
          <c:tx>
            <c:strRef>
              <c:f>Graph_Data!$Z$7</c:f>
              <c:strCache>
                <c:ptCount val="1"/>
                <c:pt idx="0">
                  <c:v>１階_1m近似直線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Graph_Data!$Z$11:$Z$226</c:f>
              <c:numCache>
                <c:ptCount val="216"/>
                <c:pt idx="91">
                  <c:v>1.169371997721799</c:v>
                </c:pt>
                <c:pt idx="92">
                  <c:v>-2.799427098141083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Graph_Data!$Q$7</c:f>
              <c:strCache>
                <c:ptCount val="1"/>
                <c:pt idx="0">
                  <c:v>１階_1m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Graph_Data!$Q$11:$Q$226</c:f>
              <c:numCache>
                <c:ptCount val="216"/>
                <c:pt idx="0">
                  <c:v>0.8915374576725644</c:v>
                </c:pt>
                <c:pt idx="1">
                  <c:v>0.887054378050957</c:v>
                </c:pt>
                <c:pt idx="2">
                  <c:v>0.9003671286564703</c:v>
                </c:pt>
                <c:pt idx="3">
                  <c:v>1.0253058652647702</c:v>
                </c:pt>
                <c:pt idx="4">
                  <c:v>1.08278537031645</c:v>
                </c:pt>
                <c:pt idx="5">
                  <c:v>1.0934216851622351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0.9344984512435677</c:v>
                </c:pt>
                <c:pt idx="9">
                  <c:v>0.9148718175400504</c:v>
                </c:pt>
                <c:pt idx="10">
                  <c:v>1.0293837776852097</c:v>
                </c:pt>
                <c:pt idx="11">
                  <c:v>1.0334237554869496</c:v>
                </c:pt>
                <c:pt idx="12">
                  <c:v>1.0374264979406236</c:v>
                </c:pt>
                <c:pt idx="13">
                  <c:v>0.9014583213961124</c:v>
                </c:pt>
                <c:pt idx="14">
                  <c:v>1.021189299069938</c:v>
                </c:pt>
                <c:pt idx="15">
                  <c:v>1.0492180226701815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2">
                  <c:v>1.0293837776852097</c:v>
                </c:pt>
                <c:pt idx="23">
                  <c:v>1.0413926851582251</c:v>
                </c:pt>
                <c:pt idx="24">
                  <c:v>1.0681858617461617</c:v>
                </c:pt>
                <c:pt idx="25">
                  <c:v>1.0170333392987803</c:v>
                </c:pt>
                <c:pt idx="26">
                  <c:v>1.0791812460476249</c:v>
                </c:pt>
                <c:pt idx="27">
                  <c:v>1.089905111439398</c:v>
                </c:pt>
                <c:pt idx="28">
                  <c:v>1.1271047983648077</c:v>
                </c:pt>
                <c:pt idx="29">
                  <c:v>1.1139433523068367</c:v>
                </c:pt>
                <c:pt idx="30">
                  <c:v>1.021189299069938</c:v>
                </c:pt>
                <c:pt idx="31">
                  <c:v>1.0253058652647702</c:v>
                </c:pt>
                <c:pt idx="32">
                  <c:v>1.0086001717619175</c:v>
                </c:pt>
                <c:pt idx="33">
                  <c:v>1.0043213737826426</c:v>
                </c:pt>
                <c:pt idx="34">
                  <c:v>1</c:v>
                </c:pt>
                <c:pt idx="35">
                  <c:v>1.0334237554869496</c:v>
                </c:pt>
                <c:pt idx="36">
                  <c:v>1.0334237554869496</c:v>
                </c:pt>
                <c:pt idx="37">
                  <c:v>1.0334237554869496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4">
                  <c:v>0.8095597146352678</c:v>
                </c:pt>
                <c:pt idx="45">
                  <c:v>0.8162412999917831</c:v>
                </c:pt>
                <c:pt idx="46">
                  <c:v>0.829946695941636</c:v>
                </c:pt>
                <c:pt idx="47">
                  <c:v>0.7810369386211319</c:v>
                </c:pt>
                <c:pt idx="48">
                  <c:v>0.8603380065709937</c:v>
                </c:pt>
                <c:pt idx="49">
                  <c:v>0.8887409606828927</c:v>
                </c:pt>
                <c:pt idx="50">
                  <c:v>1</c:v>
                </c:pt>
                <c:pt idx="51">
                  <c:v>0.9420080530223133</c:v>
                </c:pt>
                <c:pt idx="52">
                  <c:v>0.8762178405916422</c:v>
                </c:pt>
                <c:pt idx="53">
                  <c:v>0.8382192219076258</c:v>
                </c:pt>
                <c:pt idx="54">
                  <c:v>0.8463371121298052</c:v>
                </c:pt>
                <c:pt idx="55">
                  <c:v>0.8674674878590515</c:v>
                </c:pt>
                <c:pt idx="56">
                  <c:v>0.9566485792052033</c:v>
                </c:pt>
                <c:pt idx="57">
                  <c:v>0.8162412999917831</c:v>
                </c:pt>
                <c:pt idx="58">
                  <c:v>0.9489017609702137</c:v>
                </c:pt>
                <c:pt idx="59">
                  <c:v>1.0086001717619175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yVal>
          <c:smooth val="0"/>
        </c:ser>
        <c:axId val="14001680"/>
        <c:axId val="58906257"/>
      </c:scatterChart>
      <c:valAx>
        <c:axId val="14001680"/>
        <c:scaling>
          <c:orientation val="minMax"/>
          <c:max val="41101"/>
          <c:min val="40827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906257"/>
        <c:crosses val="autoZero"/>
        <c:crossBetween val="midCat"/>
        <c:dispUnits/>
        <c:majorUnit val="60"/>
      </c:valAx>
      <c:valAx>
        <c:axId val="58906257"/>
        <c:scaling>
          <c:orientation val="minMax"/>
          <c:max val="1.1"/>
          <c:min val="0.85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016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125"/>
          <c:w val="0.77925"/>
          <c:h val="0.86125"/>
        </c:manualLayout>
      </c:layout>
      <c:scatterChart>
        <c:scatterStyle val="lineMarker"/>
        <c:varyColors val="0"/>
        <c:ser>
          <c:idx val="2"/>
          <c:order val="0"/>
          <c:tx>
            <c:strRef>
              <c:f>Graph_Data!$I$7</c:f>
              <c:strCache>
                <c:ptCount val="1"/>
                <c:pt idx="0">
                  <c:v>１階_2m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Graph_Data!$I$11:$I$226</c:f>
              <c:numCache>
                <c:ptCount val="216"/>
                <c:pt idx="0">
                  <c:v>1.0393731178303194</c:v>
                </c:pt>
                <c:pt idx="22">
                  <c:v>1.0466996654919742</c:v>
                </c:pt>
                <c:pt idx="44">
                  <c:v>0.8862133778501058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Graph_Data!$AA$7</c:f>
              <c:strCache>
                <c:ptCount val="1"/>
                <c:pt idx="0">
                  <c:v>１階_2m近似直線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Graph_Data!$AA$11:$AA$226</c:f>
              <c:numCache>
                <c:ptCount val="216"/>
                <c:pt idx="91">
                  <c:v>1.260433294796012</c:v>
                </c:pt>
                <c:pt idx="92">
                  <c:v>-4.237097168543732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Graph_Data!$R$7</c:f>
              <c:strCache>
                <c:ptCount val="1"/>
                <c:pt idx="0">
                  <c:v>１階_2m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Graph_Data!$E$11:$E$226</c:f>
              <c:numCache>
                <c:ptCount val="216"/>
                <c:pt idx="0">
                  <c:v>40873</c:v>
                </c:pt>
                <c:pt idx="1">
                  <c:v>40873</c:v>
                </c:pt>
                <c:pt idx="2">
                  <c:v>40873</c:v>
                </c:pt>
                <c:pt idx="3">
                  <c:v>40873</c:v>
                </c:pt>
                <c:pt idx="4">
                  <c:v>40873</c:v>
                </c:pt>
                <c:pt idx="5">
                  <c:v>40873</c:v>
                </c:pt>
                <c:pt idx="6">
                  <c:v>40873</c:v>
                </c:pt>
                <c:pt idx="7">
                  <c:v>40873</c:v>
                </c:pt>
                <c:pt idx="8">
                  <c:v>40873</c:v>
                </c:pt>
                <c:pt idx="9">
                  <c:v>40873</c:v>
                </c:pt>
                <c:pt idx="10">
                  <c:v>40873</c:v>
                </c:pt>
                <c:pt idx="11">
                  <c:v>40873</c:v>
                </c:pt>
                <c:pt idx="12">
                  <c:v>40873</c:v>
                </c:pt>
                <c:pt idx="13">
                  <c:v>40873</c:v>
                </c:pt>
                <c:pt idx="14">
                  <c:v>40873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2">
                  <c:v>40986</c:v>
                </c:pt>
                <c:pt idx="23">
                  <c:v>40986</c:v>
                </c:pt>
                <c:pt idx="24">
                  <c:v>40986</c:v>
                </c:pt>
                <c:pt idx="25">
                  <c:v>40986</c:v>
                </c:pt>
                <c:pt idx="26">
                  <c:v>40986</c:v>
                </c:pt>
                <c:pt idx="27">
                  <c:v>40986</c:v>
                </c:pt>
                <c:pt idx="28">
                  <c:v>40986</c:v>
                </c:pt>
                <c:pt idx="29">
                  <c:v>40986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4">
                  <c:v>41055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59">
                  <c:v>41055</c:v>
                </c:pt>
                <c:pt idx="60">
                  <c:v>41055</c:v>
                </c:pt>
                <c:pt idx="61">
                  <c:v>41055</c:v>
                </c:pt>
                <c:pt idx="62">
                  <c:v>41055</c:v>
                </c:pt>
                <c:pt idx="63">
                  <c:v>41055</c:v>
                </c:pt>
                <c:pt idx="64">
                  <c:v>41055</c:v>
                </c:pt>
                <c:pt idx="66">
                  <c:v>40613</c:v>
                </c:pt>
                <c:pt idx="67">
                  <c:v>47918</c:v>
                </c:pt>
                <c:pt idx="87">
                  <c:v>40613</c:v>
                </c:pt>
                <c:pt idx="88">
                  <c:v>40979</c:v>
                </c:pt>
                <c:pt idx="89">
                  <c:v>47918</c:v>
                </c:pt>
                <c:pt idx="91">
                  <c:v>40613</c:v>
                </c:pt>
                <c:pt idx="92">
                  <c:v>47918</c:v>
                </c:pt>
                <c:pt idx="94">
                  <c:v>40613</c:v>
                </c:pt>
                <c:pt idx="95">
                  <c:v>47918</c:v>
                </c:pt>
                <c:pt idx="97">
                  <c:v>40613</c:v>
                </c:pt>
                <c:pt idx="98">
                  <c:v>47918</c:v>
                </c:pt>
                <c:pt idx="100">
                  <c:v>40613</c:v>
                </c:pt>
                <c:pt idx="101">
                  <c:v>47918</c:v>
                </c:pt>
                <c:pt idx="103">
                  <c:v>40613</c:v>
                </c:pt>
                <c:pt idx="104">
                  <c:v>47918</c:v>
                </c:pt>
                <c:pt idx="106">
                  <c:v>40613</c:v>
                </c:pt>
                <c:pt idx="107">
                  <c:v>47918</c:v>
                </c:pt>
                <c:pt idx="109">
                  <c:v>40613</c:v>
                </c:pt>
                <c:pt idx="110">
                  <c:v>47918</c:v>
                </c:pt>
                <c:pt idx="112">
                  <c:v>40613</c:v>
                </c:pt>
                <c:pt idx="113">
                  <c:v>47918</c:v>
                </c:pt>
                <c:pt idx="115">
                  <c:v>40613</c:v>
                </c:pt>
                <c:pt idx="116">
                  <c:v>47918</c:v>
                </c:pt>
                <c:pt idx="118">
                  <c:v>40613</c:v>
                </c:pt>
                <c:pt idx="119">
                  <c:v>47918</c:v>
                </c:pt>
                <c:pt idx="121">
                  <c:v>40613</c:v>
                </c:pt>
                <c:pt idx="122">
                  <c:v>47918</c:v>
                </c:pt>
                <c:pt idx="124">
                  <c:v>40613</c:v>
                </c:pt>
                <c:pt idx="125">
                  <c:v>47918</c:v>
                </c:pt>
                <c:pt idx="127">
                  <c:v>40613</c:v>
                </c:pt>
                <c:pt idx="128">
                  <c:v>47918</c:v>
                </c:pt>
                <c:pt idx="130">
                  <c:v>40613</c:v>
                </c:pt>
                <c:pt idx="131">
                  <c:v>47918</c:v>
                </c:pt>
                <c:pt idx="133">
                  <c:v>40613</c:v>
                </c:pt>
                <c:pt idx="134">
                  <c:v>47918</c:v>
                </c:pt>
                <c:pt idx="136">
                  <c:v>40613</c:v>
                </c:pt>
                <c:pt idx="137">
                  <c:v>47918</c:v>
                </c:pt>
                <c:pt idx="139">
                  <c:v>40613</c:v>
                </c:pt>
                <c:pt idx="140">
                  <c:v>47918</c:v>
                </c:pt>
                <c:pt idx="142">
                  <c:v>40613</c:v>
                </c:pt>
                <c:pt idx="143">
                  <c:v>47918</c:v>
                </c:pt>
                <c:pt idx="145">
                  <c:v>40613</c:v>
                </c:pt>
                <c:pt idx="146">
                  <c:v>47918</c:v>
                </c:pt>
                <c:pt idx="148">
                  <c:v>40613</c:v>
                </c:pt>
                <c:pt idx="149">
                  <c:v>47918</c:v>
                </c:pt>
                <c:pt idx="151">
                  <c:v>40613</c:v>
                </c:pt>
                <c:pt idx="152">
                  <c:v>47918</c:v>
                </c:pt>
                <c:pt idx="154">
                  <c:v>40613</c:v>
                </c:pt>
                <c:pt idx="155">
                  <c:v>47918</c:v>
                </c:pt>
                <c:pt idx="157">
                  <c:v>40613</c:v>
                </c:pt>
                <c:pt idx="158">
                  <c:v>47918</c:v>
                </c:pt>
                <c:pt idx="160">
                  <c:v>40613</c:v>
                </c:pt>
                <c:pt idx="161">
                  <c:v>47918</c:v>
                </c:pt>
                <c:pt idx="163">
                  <c:v>40613</c:v>
                </c:pt>
                <c:pt idx="164">
                  <c:v>47918</c:v>
                </c:pt>
                <c:pt idx="166">
                  <c:v>40613</c:v>
                </c:pt>
                <c:pt idx="167">
                  <c:v>47918</c:v>
                </c:pt>
                <c:pt idx="169">
                  <c:v>40613</c:v>
                </c:pt>
                <c:pt idx="170">
                  <c:v>47918</c:v>
                </c:pt>
                <c:pt idx="172">
                  <c:v>40613</c:v>
                </c:pt>
                <c:pt idx="173">
                  <c:v>47918</c:v>
                </c:pt>
                <c:pt idx="175">
                  <c:v>40613</c:v>
                </c:pt>
                <c:pt idx="176">
                  <c:v>47918</c:v>
                </c:pt>
                <c:pt idx="178">
                  <c:v>40613</c:v>
                </c:pt>
                <c:pt idx="179">
                  <c:v>47918</c:v>
                </c:pt>
                <c:pt idx="181">
                  <c:v>40613</c:v>
                </c:pt>
                <c:pt idx="182">
                  <c:v>47918</c:v>
                </c:pt>
                <c:pt idx="184">
                  <c:v>40613</c:v>
                </c:pt>
                <c:pt idx="185">
                  <c:v>47918</c:v>
                </c:pt>
                <c:pt idx="187">
                  <c:v>40613</c:v>
                </c:pt>
                <c:pt idx="188">
                  <c:v>47918</c:v>
                </c:pt>
                <c:pt idx="190">
                  <c:v>40613</c:v>
                </c:pt>
                <c:pt idx="191">
                  <c:v>47918</c:v>
                </c:pt>
                <c:pt idx="193">
                  <c:v>40613</c:v>
                </c:pt>
                <c:pt idx="194">
                  <c:v>47918</c:v>
                </c:pt>
                <c:pt idx="196">
                  <c:v>40613</c:v>
                </c:pt>
                <c:pt idx="197">
                  <c:v>47918</c:v>
                </c:pt>
                <c:pt idx="199">
                  <c:v>40613</c:v>
                </c:pt>
                <c:pt idx="200">
                  <c:v>47918</c:v>
                </c:pt>
                <c:pt idx="202">
                  <c:v>40613</c:v>
                </c:pt>
                <c:pt idx="203">
                  <c:v>47918</c:v>
                </c:pt>
                <c:pt idx="205">
                  <c:v>40613</c:v>
                </c:pt>
                <c:pt idx="206">
                  <c:v>47918</c:v>
                </c:pt>
                <c:pt idx="208">
                  <c:v>40613</c:v>
                </c:pt>
                <c:pt idx="209">
                  <c:v>47918</c:v>
                </c:pt>
                <c:pt idx="211">
                  <c:v>40613</c:v>
                </c:pt>
                <c:pt idx="212">
                  <c:v>47918</c:v>
                </c:pt>
                <c:pt idx="214">
                  <c:v>40613</c:v>
                </c:pt>
                <c:pt idx="215">
                  <c:v>47918</c:v>
                </c:pt>
              </c:numCache>
            </c:numRef>
          </c:xVal>
          <c:yVal>
            <c:numRef>
              <c:f>Graph_Data!$R$11:$R$226</c:f>
              <c:numCache>
                <c:ptCount val="216"/>
                <c:pt idx="0">
                  <c:v>0.9014583213961124</c:v>
                </c:pt>
                <c:pt idx="1">
                  <c:v>0.9344984512435677</c:v>
                </c:pt>
                <c:pt idx="2">
                  <c:v>0.9057958803678685</c:v>
                </c:pt>
                <c:pt idx="3">
                  <c:v>1.021189299069938</c:v>
                </c:pt>
                <c:pt idx="4">
                  <c:v>1.08278537031645</c:v>
                </c:pt>
                <c:pt idx="5">
                  <c:v>1.0969100130080565</c:v>
                </c:pt>
                <c:pt idx="6">
                  <c:v>1.1238516409670858</c:v>
                </c:pt>
                <c:pt idx="7">
                  <c:v>1.1205739312058498</c:v>
                </c:pt>
                <c:pt idx="8">
                  <c:v>0.9614210940664483</c:v>
                </c:pt>
                <c:pt idx="9">
                  <c:v>1.1613680022349748</c:v>
                </c:pt>
                <c:pt idx="10">
                  <c:v>1.0293837776852097</c:v>
                </c:pt>
                <c:pt idx="11">
                  <c:v>1.0334237554869496</c:v>
                </c:pt>
                <c:pt idx="12">
                  <c:v>1.0413926851582251</c:v>
                </c:pt>
                <c:pt idx="13">
                  <c:v>1.14921911265538</c:v>
                </c:pt>
                <c:pt idx="14">
                  <c:v>1.0253058652647702</c:v>
                </c:pt>
                <c:pt idx="15">
                  <c:v>1.0413926851582251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2">
                  <c:v>1.0293837776852097</c:v>
                </c:pt>
                <c:pt idx="23">
                  <c:v>1.0413926851582251</c:v>
                </c:pt>
                <c:pt idx="24">
                  <c:v>1.0718820073061255</c:v>
                </c:pt>
                <c:pt idx="25">
                  <c:v>1.0170333392987803</c:v>
                </c:pt>
                <c:pt idx="26">
                  <c:v>1.08278537031645</c:v>
                </c:pt>
                <c:pt idx="27">
                  <c:v>1.0934216851622351</c:v>
                </c:pt>
                <c:pt idx="28">
                  <c:v>1.130333768495006</c:v>
                </c:pt>
                <c:pt idx="29">
                  <c:v>1.1172712956557642</c:v>
                </c:pt>
                <c:pt idx="30">
                  <c:v>1.021189299069938</c:v>
                </c:pt>
                <c:pt idx="31">
                  <c:v>1.0253058652647702</c:v>
                </c:pt>
                <c:pt idx="32">
                  <c:v>1.0086001717619175</c:v>
                </c:pt>
                <c:pt idx="33">
                  <c:v>1.0043213737826426</c:v>
                </c:pt>
                <c:pt idx="34">
                  <c:v>1</c:v>
                </c:pt>
                <c:pt idx="35">
                  <c:v>1.0374264979406236</c:v>
                </c:pt>
                <c:pt idx="36">
                  <c:v>1.0334237554869496</c:v>
                </c:pt>
                <c:pt idx="37">
                  <c:v>1.0334237554869496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4">
                  <c:v>0.8162412999917831</c:v>
                </c:pt>
                <c:pt idx="45">
                  <c:v>0.8208579894396999</c:v>
                </c:pt>
                <c:pt idx="46">
                  <c:v>0.8260748027008264</c:v>
                </c:pt>
                <c:pt idx="47">
                  <c:v>0.7810369386211319</c:v>
                </c:pt>
                <c:pt idx="48">
                  <c:v>0.8603380065709937</c:v>
                </c:pt>
                <c:pt idx="49">
                  <c:v>0.8937617620579434</c:v>
                </c:pt>
                <c:pt idx="50">
                  <c:v>0.9938769149412112</c:v>
                </c:pt>
                <c:pt idx="51">
                  <c:v>0.9242792860618817</c:v>
                </c:pt>
                <c:pt idx="52">
                  <c:v>0.8819549713396005</c:v>
                </c:pt>
                <c:pt idx="53">
                  <c:v>0.8382192219076258</c:v>
                </c:pt>
                <c:pt idx="54">
                  <c:v>0.8656960599160706</c:v>
                </c:pt>
                <c:pt idx="55">
                  <c:v>0.8674674878590515</c:v>
                </c:pt>
                <c:pt idx="56">
                  <c:v>1.021189299069938</c:v>
                </c:pt>
                <c:pt idx="57">
                  <c:v>0.8208579894396999</c:v>
                </c:pt>
                <c:pt idx="58">
                  <c:v>0.9547247909790629</c:v>
                </c:pt>
                <c:pt idx="59">
                  <c:v>1.0128372247051722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yVal>
          <c:smooth val="0"/>
        </c:ser>
        <c:axId val="60394266"/>
        <c:axId val="6677483"/>
      </c:scatterChart>
      <c:valAx>
        <c:axId val="60394266"/>
        <c:scaling>
          <c:orientation val="minMax"/>
          <c:max val="41101"/>
          <c:min val="40827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77483"/>
        <c:crosses val="autoZero"/>
        <c:crossBetween val="midCat"/>
        <c:dispUnits/>
        <c:majorUnit val="60"/>
      </c:valAx>
      <c:valAx>
        <c:axId val="6677483"/>
        <c:scaling>
          <c:orientation val="minMax"/>
          <c:max val="1.1"/>
          <c:min val="0.85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942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68"/>
          <c:w val="0.8785"/>
          <c:h val="0.8035"/>
        </c:manualLayout>
      </c:layout>
      <c:scatterChart>
        <c:scatterStyle val="lineMarker"/>
        <c:varyColors val="0"/>
        <c:ser>
          <c:idx val="3"/>
          <c:order val="0"/>
          <c:tx>
            <c:strRef>
              <c:f>Graph_Data!$J$7</c:f>
              <c:strCache>
                <c:ptCount val="1"/>
                <c:pt idx="0">
                  <c:v>２階_1cm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Graph_Data!$J$11:$J$226</c:f>
              <c:numCache>
                <c:ptCount val="216"/>
                <c:pt idx="0">
                  <c:v>1.0620721730716116</c:v>
                </c:pt>
                <c:pt idx="22">
                  <c:v>0.999805534662786</c:v>
                </c:pt>
                <c:pt idx="44">
                  <c:v>0.9643094088727537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Graph_Data!$AB$7</c:f>
              <c:strCache>
                <c:ptCount val="1"/>
                <c:pt idx="0">
                  <c:v>２階_1cm近似直線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Graph_Data!$AB$11:$AB$226</c:f>
              <c:numCache>
                <c:ptCount val="216"/>
                <c:pt idx="91">
                  <c:v>1.2016986618451517</c:v>
                </c:pt>
                <c:pt idx="92">
                  <c:v>-2.732189047476947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Graph_Data!$S$7</c:f>
              <c:strCache>
                <c:ptCount val="1"/>
                <c:pt idx="0">
                  <c:v>２階_1cm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Graph_Data!$S$11:$S$226</c:f>
              <c:numCache>
                <c:ptCount val="216"/>
                <c:pt idx="0">
                  <c:v>1.0374264979406236</c:v>
                </c:pt>
                <c:pt idx="1">
                  <c:v>1.1172712956557642</c:v>
                </c:pt>
                <c:pt idx="2">
                  <c:v>1.0492180226701815</c:v>
                </c:pt>
                <c:pt idx="3">
                  <c:v>1.0293837776852097</c:v>
                </c:pt>
                <c:pt idx="4">
                  <c:v>1.0863598306747482</c:v>
                </c:pt>
                <c:pt idx="5">
                  <c:v>1.0969100130080565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1.0718820073061255</c:v>
                </c:pt>
                <c:pt idx="9">
                  <c:v>1.0791812460476249</c:v>
                </c:pt>
                <c:pt idx="10">
                  <c:v>1.0334237554869496</c:v>
                </c:pt>
                <c:pt idx="11">
                  <c:v>1.0606978403536116</c:v>
                </c:pt>
                <c:pt idx="12">
                  <c:v>1.0530784434834197</c:v>
                </c:pt>
                <c:pt idx="13">
                  <c:v>1.0492180226701815</c:v>
                </c:pt>
                <c:pt idx="14">
                  <c:v>1.0530784434834197</c:v>
                </c:pt>
                <c:pt idx="15">
                  <c:v>1.0374264979406236</c:v>
                </c:pt>
                <c:pt idx="16">
                  <c:v>1.0453229787866574</c:v>
                </c:pt>
                <c:pt idx="17">
                  <c:v>1.0530784434834197</c:v>
                </c:pt>
                <c:pt idx="18">
                  <c:v>1.0934216851622351</c:v>
                </c:pt>
                <c:pt idx="19">
                  <c:v>1.0569048513364727</c:v>
                </c:pt>
                <c:pt idx="20">
                  <c:v>1.0293837776852097</c:v>
                </c:pt>
                <c:pt idx="22">
                  <c:v>1.0334237554869496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0.9943171526696367</c:v>
                </c:pt>
                <c:pt idx="27">
                  <c:v>0.9969492484953811</c:v>
                </c:pt>
                <c:pt idx="28">
                  <c:v>0.9956351945975499</c:v>
                </c:pt>
                <c:pt idx="29">
                  <c:v>0.9960736544852753</c:v>
                </c:pt>
                <c:pt idx="30">
                  <c:v>0.9965116721541787</c:v>
                </c:pt>
                <c:pt idx="31">
                  <c:v>0.9965116721541787</c:v>
                </c:pt>
                <c:pt idx="32">
                  <c:v>1</c:v>
                </c:pt>
                <c:pt idx="33">
                  <c:v>0.9991305412873711</c:v>
                </c:pt>
                <c:pt idx="34">
                  <c:v>0.9973863843973133</c:v>
                </c:pt>
                <c:pt idx="35">
                  <c:v>0.9956351945975499</c:v>
                </c:pt>
                <c:pt idx="36">
                  <c:v>0.9978230807457255</c:v>
                </c:pt>
                <c:pt idx="37">
                  <c:v>0.9982593384236987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0.9982593384236987</c:v>
                </c:pt>
                <c:pt idx="44">
                  <c:v>0.8228216453031046</c:v>
                </c:pt>
                <c:pt idx="45">
                  <c:v>0.8992731873176038</c:v>
                </c:pt>
                <c:pt idx="46">
                  <c:v>0.9100905455940682</c:v>
                </c:pt>
                <c:pt idx="47">
                  <c:v>0.9036325160842377</c:v>
                </c:pt>
                <c:pt idx="48">
                  <c:v>1.0253058652647702</c:v>
                </c:pt>
                <c:pt idx="49">
                  <c:v>1.021189299069938</c:v>
                </c:pt>
                <c:pt idx="50">
                  <c:v>1.0253058652647702</c:v>
                </c:pt>
                <c:pt idx="51">
                  <c:v>1.021189299069938</c:v>
                </c:pt>
                <c:pt idx="52">
                  <c:v>1.0128372247051722</c:v>
                </c:pt>
                <c:pt idx="53">
                  <c:v>1.0170333392987803</c:v>
                </c:pt>
                <c:pt idx="54">
                  <c:v>0.9074113607745862</c:v>
                </c:pt>
                <c:pt idx="55">
                  <c:v>0.9703468762300933</c:v>
                </c:pt>
                <c:pt idx="56">
                  <c:v>0.967547976218862</c:v>
                </c:pt>
                <c:pt idx="57">
                  <c:v>0.9434945159061026</c:v>
                </c:pt>
                <c:pt idx="58">
                  <c:v>0.9122220565324155</c:v>
                </c:pt>
                <c:pt idx="59">
                  <c:v>0.9164539485499251</c:v>
                </c:pt>
                <c:pt idx="60">
                  <c:v>0.9689496809813426</c:v>
                </c:pt>
                <c:pt idx="61">
                  <c:v>0.9840770339028309</c:v>
                </c:pt>
                <c:pt idx="62">
                  <c:v>1.0569048513364727</c:v>
                </c:pt>
                <c:pt idx="63">
                  <c:v>0.8709888137605752</c:v>
                </c:pt>
                <c:pt idx="64">
                  <c:v>1.0934216851622351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Graph_Data!$K$7</c:f>
              <c:strCache>
                <c:ptCount val="1"/>
                <c:pt idx="0">
                  <c:v>２階_1m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Graph_Data!$K$11:$K$226</c:f>
              <c:numCache>
                <c:ptCount val="216"/>
                <c:pt idx="0">
                  <c:v>1.0590380810974311</c:v>
                </c:pt>
                <c:pt idx="22">
                  <c:v>0.9997220181119092</c:v>
                </c:pt>
                <c:pt idx="44">
                  <c:v>0.9757996733567778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Graph_Data!$AC$7</c:f>
              <c:strCache>
                <c:ptCount val="1"/>
                <c:pt idx="0">
                  <c:v>２階_1m近似直線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Graph_Data!$AC$11:$AC$226</c:f>
              <c:numCache>
                <c:ptCount val="216"/>
                <c:pt idx="91">
                  <c:v>1.1777815761006116</c:v>
                </c:pt>
                <c:pt idx="92">
                  <c:v>-2.211636192875583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Graph_Data!$T$7</c:f>
              <c:strCache>
                <c:ptCount val="1"/>
                <c:pt idx="0">
                  <c:v>２階_1m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Graph_Data!$T$11:$T$226</c:f>
              <c:numCache>
                <c:ptCount val="216"/>
                <c:pt idx="0">
                  <c:v>1.0413926851582251</c:v>
                </c:pt>
                <c:pt idx="1">
                  <c:v>1.0644579892269184</c:v>
                </c:pt>
                <c:pt idx="2">
                  <c:v>1.0334237554869496</c:v>
                </c:pt>
                <c:pt idx="3">
                  <c:v>1.0334237554869496</c:v>
                </c:pt>
                <c:pt idx="4">
                  <c:v>1.08278537031645</c:v>
                </c:pt>
                <c:pt idx="5">
                  <c:v>1.0934216851622351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1.0718820073061255</c:v>
                </c:pt>
                <c:pt idx="9">
                  <c:v>1.0718820073061255</c:v>
                </c:pt>
                <c:pt idx="10">
                  <c:v>1.0334237554869496</c:v>
                </c:pt>
                <c:pt idx="11">
                  <c:v>1.0606978403536116</c:v>
                </c:pt>
                <c:pt idx="12">
                  <c:v>1.0530784434834197</c:v>
                </c:pt>
                <c:pt idx="13">
                  <c:v>1.0492180226701815</c:v>
                </c:pt>
                <c:pt idx="14">
                  <c:v>1.0530784434834197</c:v>
                </c:pt>
                <c:pt idx="15">
                  <c:v>1.0413926851582251</c:v>
                </c:pt>
                <c:pt idx="16">
                  <c:v>1.0453229787866574</c:v>
                </c:pt>
                <c:pt idx="17">
                  <c:v>1.0530784434834197</c:v>
                </c:pt>
                <c:pt idx="18">
                  <c:v>1.0969100130080565</c:v>
                </c:pt>
                <c:pt idx="19">
                  <c:v>1.0606978403536116</c:v>
                </c:pt>
                <c:pt idx="20">
                  <c:v>1.0293837776852097</c:v>
                </c:pt>
                <c:pt idx="22">
                  <c:v>1.0334237554869496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0.9947569445876282</c:v>
                </c:pt>
                <c:pt idx="27">
                  <c:v>0.9965116721541787</c:v>
                </c:pt>
                <c:pt idx="28">
                  <c:v>0.9943171526696367</c:v>
                </c:pt>
                <c:pt idx="29">
                  <c:v>0.9956351945975499</c:v>
                </c:pt>
                <c:pt idx="30">
                  <c:v>0.9965116721541787</c:v>
                </c:pt>
                <c:pt idx="31">
                  <c:v>0.9965116721541787</c:v>
                </c:pt>
                <c:pt idx="32">
                  <c:v>1</c:v>
                </c:pt>
                <c:pt idx="33">
                  <c:v>0.9991305412873711</c:v>
                </c:pt>
                <c:pt idx="34">
                  <c:v>0.9978230807457255</c:v>
                </c:pt>
                <c:pt idx="35">
                  <c:v>0.9956351945975499</c:v>
                </c:pt>
                <c:pt idx="36">
                  <c:v>0.9978230807457255</c:v>
                </c:pt>
                <c:pt idx="37">
                  <c:v>0.9978230807457255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0.9982593384236987</c:v>
                </c:pt>
                <c:pt idx="44">
                  <c:v>0.8234742291703011</c:v>
                </c:pt>
                <c:pt idx="45">
                  <c:v>0.8904210188009143</c:v>
                </c:pt>
                <c:pt idx="46">
                  <c:v>0.9106244048892013</c:v>
                </c:pt>
                <c:pt idx="47">
                  <c:v>0.9003671286564703</c:v>
                </c:pt>
                <c:pt idx="48">
                  <c:v>1.0253058652647702</c:v>
                </c:pt>
                <c:pt idx="49">
                  <c:v>1.0253058652647702</c:v>
                </c:pt>
                <c:pt idx="50">
                  <c:v>1.021189299069938</c:v>
                </c:pt>
                <c:pt idx="51">
                  <c:v>1.0374264979406236</c:v>
                </c:pt>
                <c:pt idx="52">
                  <c:v>1.0128372247051722</c:v>
                </c:pt>
                <c:pt idx="53">
                  <c:v>1.0170333392987803</c:v>
                </c:pt>
                <c:pt idx="54">
                  <c:v>0.9095560292411753</c:v>
                </c:pt>
                <c:pt idx="55">
                  <c:v>0.9652017010259121</c:v>
                </c:pt>
                <c:pt idx="56">
                  <c:v>0.9666109866819343</c:v>
                </c:pt>
                <c:pt idx="57">
                  <c:v>0.9420080530223133</c:v>
                </c:pt>
                <c:pt idx="58">
                  <c:v>0.912753303671323</c:v>
                </c:pt>
                <c:pt idx="59">
                  <c:v>0.9731278535996987</c:v>
                </c:pt>
                <c:pt idx="60">
                  <c:v>0.9758911364017928</c:v>
                </c:pt>
                <c:pt idx="61">
                  <c:v>0.9934362304976118</c:v>
                </c:pt>
                <c:pt idx="62">
                  <c:v>1.0755469613925308</c:v>
                </c:pt>
                <c:pt idx="63">
                  <c:v>1.0644579892269184</c:v>
                </c:pt>
                <c:pt idx="64">
                  <c:v>1.0492180226701815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Graph_Data!$L$7</c:f>
              <c:strCache>
                <c:ptCount val="1"/>
                <c:pt idx="0">
                  <c:v>２階_2m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Graph_Data!$L$11:$L$226</c:f>
              <c:numCache>
                <c:ptCount val="216"/>
                <c:pt idx="0">
                  <c:v>1.0749963258236386</c:v>
                </c:pt>
                <c:pt idx="22">
                  <c:v>0.9998893835519896</c:v>
                </c:pt>
                <c:pt idx="44">
                  <c:v>0.982420600295685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Graph_Data!$AD$7</c:f>
              <c:strCache>
                <c:ptCount val="1"/>
                <c:pt idx="0">
                  <c:v>２階_2m近似直線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Graph_Data!$F$11:$F$2036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Graph_Data!$AD$11:$AD$226</c:f>
              <c:numCache>
                <c:ptCount val="216"/>
                <c:pt idx="91">
                  <c:v>1.2068582758855488</c:v>
                </c:pt>
                <c:pt idx="92">
                  <c:v>-2.6207477928426917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Graph_Data!$U$7</c:f>
              <c:strCache>
                <c:ptCount val="1"/>
                <c:pt idx="0">
                  <c:v>２階_2m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Graph_Data!$U$11:$U$226</c:f>
              <c:numCache>
                <c:ptCount val="216"/>
                <c:pt idx="0">
                  <c:v>1.0413926851582251</c:v>
                </c:pt>
                <c:pt idx="1">
                  <c:v>1.1038037209559568</c:v>
                </c:pt>
                <c:pt idx="2">
                  <c:v>1.0334237554869496</c:v>
                </c:pt>
                <c:pt idx="3">
                  <c:v>1.0293837776852097</c:v>
                </c:pt>
                <c:pt idx="4">
                  <c:v>1.08278537031645</c:v>
                </c:pt>
                <c:pt idx="5">
                  <c:v>1.0969100130080565</c:v>
                </c:pt>
                <c:pt idx="6">
                  <c:v>1.1238516409670858</c:v>
                </c:pt>
                <c:pt idx="7">
                  <c:v>1.0791812460476249</c:v>
                </c:pt>
                <c:pt idx="8">
                  <c:v>1.0718820073061255</c:v>
                </c:pt>
                <c:pt idx="9">
                  <c:v>1.0718820073061255</c:v>
                </c:pt>
                <c:pt idx="10">
                  <c:v>1.0374264979406236</c:v>
                </c:pt>
                <c:pt idx="11">
                  <c:v>1.0569048513364727</c:v>
                </c:pt>
                <c:pt idx="12">
                  <c:v>1.0530784434834197</c:v>
                </c:pt>
                <c:pt idx="13">
                  <c:v>1.0492180226701815</c:v>
                </c:pt>
                <c:pt idx="14">
                  <c:v>1.0569048513364727</c:v>
                </c:pt>
                <c:pt idx="15">
                  <c:v>1.0453229787866574</c:v>
                </c:pt>
                <c:pt idx="16">
                  <c:v>1.0492180226701815</c:v>
                </c:pt>
                <c:pt idx="17">
                  <c:v>1.0569048513364727</c:v>
                </c:pt>
                <c:pt idx="18">
                  <c:v>1.110589710299249</c:v>
                </c:pt>
                <c:pt idx="19">
                  <c:v>1.1430148002540952</c:v>
                </c:pt>
                <c:pt idx="20">
                  <c:v>1.1818435879447726</c:v>
                </c:pt>
                <c:pt idx="22">
                  <c:v>1.0334237554869496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0.9951962915971795</c:v>
                </c:pt>
                <c:pt idx="27">
                  <c:v>0.9965116721541787</c:v>
                </c:pt>
                <c:pt idx="28">
                  <c:v>0.9947569445876282</c:v>
                </c:pt>
                <c:pt idx="29">
                  <c:v>0.9982593384236987</c:v>
                </c:pt>
                <c:pt idx="30">
                  <c:v>0.9969492484953811</c:v>
                </c:pt>
                <c:pt idx="31">
                  <c:v>0.9969492484953811</c:v>
                </c:pt>
                <c:pt idx="32">
                  <c:v>1</c:v>
                </c:pt>
                <c:pt idx="33">
                  <c:v>0.9995654882259823</c:v>
                </c:pt>
                <c:pt idx="34">
                  <c:v>0.9986951583116558</c:v>
                </c:pt>
                <c:pt idx="35">
                  <c:v>0.9960736544852753</c:v>
                </c:pt>
                <c:pt idx="36">
                  <c:v>0.9982593384236987</c:v>
                </c:pt>
                <c:pt idx="37">
                  <c:v>0.9982593384236987</c:v>
                </c:pt>
                <c:pt idx="38">
                  <c:v>0.9986951583116558</c:v>
                </c:pt>
                <c:pt idx="39">
                  <c:v>1</c:v>
                </c:pt>
                <c:pt idx="40">
                  <c:v>1</c:v>
                </c:pt>
                <c:pt idx="41">
                  <c:v>0.9982593384236987</c:v>
                </c:pt>
                <c:pt idx="42">
                  <c:v>0.9978230807457255</c:v>
                </c:pt>
                <c:pt idx="44">
                  <c:v>1.0334237554869496</c:v>
                </c:pt>
                <c:pt idx="45">
                  <c:v>0.8830933585756899</c:v>
                </c:pt>
                <c:pt idx="46">
                  <c:v>0.9122220565324155</c:v>
                </c:pt>
                <c:pt idx="47">
                  <c:v>0.9084850188786497</c:v>
                </c:pt>
                <c:pt idx="48">
                  <c:v>1.0253058652647702</c:v>
                </c:pt>
                <c:pt idx="49">
                  <c:v>1.0253058652647702</c:v>
                </c:pt>
                <c:pt idx="50">
                  <c:v>1.0253058652647702</c:v>
                </c:pt>
                <c:pt idx="51">
                  <c:v>1.0755469613925308</c:v>
                </c:pt>
                <c:pt idx="52">
                  <c:v>1.0128372247051722</c:v>
                </c:pt>
                <c:pt idx="53">
                  <c:v>1.0170333392987803</c:v>
                </c:pt>
                <c:pt idx="54">
                  <c:v>0.9100905455940682</c:v>
                </c:pt>
                <c:pt idx="55">
                  <c:v>0.9684829485539351</c:v>
                </c:pt>
                <c:pt idx="56">
                  <c:v>0.9479236198317263</c:v>
                </c:pt>
                <c:pt idx="57">
                  <c:v>0.9444826721501687</c:v>
                </c:pt>
                <c:pt idx="58">
                  <c:v>0.9138138523837167</c:v>
                </c:pt>
                <c:pt idx="59">
                  <c:v>1.0253058652647702</c:v>
                </c:pt>
                <c:pt idx="60">
                  <c:v>0.9800033715837464</c:v>
                </c:pt>
                <c:pt idx="61">
                  <c:v>1.0043213737826426</c:v>
                </c:pt>
                <c:pt idx="62">
                  <c:v>1.08278537031645</c:v>
                </c:pt>
                <c:pt idx="63">
                  <c:v>1.0681858617461617</c:v>
                </c:pt>
                <c:pt idx="64">
                  <c:v>0.8668778143374989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Graph_Data!$AK$7</c:f>
              <c:strCache>
                <c:ptCount val="1"/>
                <c:pt idx="0">
                  <c:v>0.05事故前BG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Graph_Data!$AK$11:$AK$226</c:f>
              <c:numCache>
                <c:ptCount val="216"/>
                <c:pt idx="66">
                  <c:v>-1.3010299956639813</c:v>
                </c:pt>
                <c:pt idx="67">
                  <c:v>-1.3010299956639813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Graph_Data!$AQ$7</c:f>
              <c:strCache>
                <c:ptCount val="1"/>
                <c:pt idx="0">
                  <c:v>2階2mBG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Graph_Data!$AQ$11:$AQ$226</c:f>
              <c:numCache>
                <c:ptCount val="216"/>
                <c:pt idx="78">
                  <c:v>5</c:v>
                </c:pt>
                <c:pt idx="79">
                  <c:v>-5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Graph_Data!$AP$7</c:f>
              <c:strCache>
                <c:ptCount val="1"/>
                <c:pt idx="0">
                  <c:v>2階1mBG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Graph_Data!$AP$11:$AP$226</c:f>
              <c:numCache>
                <c:ptCount val="216"/>
                <c:pt idx="81">
                  <c:v>5</c:v>
                </c:pt>
                <c:pt idx="82">
                  <c:v>-5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Graph_Data!$AO$7</c:f>
              <c:strCache>
                <c:ptCount val="1"/>
                <c:pt idx="0">
                  <c:v>2階1cmBG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Graph_Data!$AO$11:$AO$226</c:f>
              <c:numCache>
                <c:ptCount val="216"/>
                <c:pt idx="84">
                  <c:v>5</c:v>
                </c:pt>
                <c:pt idx="85">
                  <c:v>-5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Graph_Data!$AR$7</c:f>
              <c:strCache>
                <c:ptCount val="1"/>
                <c:pt idx="0">
                  <c:v>Cs-137の減衰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Graph_Data!$AR$11:$AR$226</c:f>
              <c:numCache>
                <c:ptCount val="216"/>
                <c:pt idx="87">
                  <c:v>0.6989700043360189</c:v>
                </c:pt>
                <c:pt idx="88">
                  <c:v>0.6889711860754673</c:v>
                </c:pt>
                <c:pt idx="89">
                  <c:v>0.49940342675861776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Graph_Data!$AS$7</c:f>
              <c:strCache>
                <c:ptCount val="1"/>
                <c:pt idx="0">
                  <c:v>I-131の減衰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Graph_Data!$AS$11:$AS$226</c:f>
              <c:numCache>
                <c:ptCount val="216"/>
                <c:pt idx="87">
                  <c:v>4.076640443670342</c:v>
                </c:pt>
                <c:pt idx="88">
                  <c:v>-9.659938460043437</c:v>
                </c:pt>
                <c:pt idx="89">
                  <c:v>-270.09196308537105</c:v>
                </c:pt>
              </c:numCache>
            </c:numRef>
          </c:yVal>
          <c:smooth val="0"/>
        </c:ser>
        <c:axId val="60097348"/>
        <c:axId val="4005221"/>
      </c:scatterChart>
      <c:valAx>
        <c:axId val="60097348"/>
        <c:scaling>
          <c:orientation val="minMax"/>
          <c:max val="6940"/>
          <c:min val="0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5221"/>
        <c:crosses val="autoZero"/>
        <c:crossBetween val="midCat"/>
        <c:dispUnits/>
        <c:majorUnit val="365"/>
      </c:valAx>
      <c:valAx>
        <c:axId val="4005221"/>
        <c:scaling>
          <c:orientation val="minMax"/>
          <c:max val="2"/>
          <c:min val="-2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97348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68"/>
          <c:w val="0.8785"/>
          <c:h val="0.8035"/>
        </c:manualLayout>
      </c:layout>
      <c:scatterChart>
        <c:scatterStyle val="lineMarker"/>
        <c:varyColors val="0"/>
        <c:ser>
          <c:idx val="3"/>
          <c:order val="0"/>
          <c:tx>
            <c:strRef>
              <c:f>Graph_Data!$G$7</c:f>
              <c:strCache>
                <c:ptCount val="1"/>
                <c:pt idx="0">
                  <c:v>１階_1cm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Graph_Data!$G$11:$G$226</c:f>
              <c:numCache>
                <c:ptCount val="216"/>
                <c:pt idx="0">
                  <c:v>1.0005400756002965</c:v>
                </c:pt>
                <c:pt idx="22">
                  <c:v>1.0452585029061086</c:v>
                </c:pt>
                <c:pt idx="44">
                  <c:v>0.8622351608625092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Graph_Data!$AH$7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Graph_Data!$AH$11:$AH$226</c:f>
              <c:numCache>
                <c:ptCount val="216"/>
                <c:pt idx="100">
                  <c:v>-1.6989700043360187</c:v>
                </c:pt>
                <c:pt idx="101">
                  <c:v>-1.6989700043360187</c:v>
                </c:pt>
                <c:pt idx="103">
                  <c:v>-1.5228787452803376</c:v>
                </c:pt>
                <c:pt idx="104">
                  <c:v>-1.5228787452803376</c:v>
                </c:pt>
                <c:pt idx="106">
                  <c:v>-1.3979400086720375</c:v>
                </c:pt>
                <c:pt idx="107">
                  <c:v>-1.3979400086720375</c:v>
                </c:pt>
                <c:pt idx="112">
                  <c:v>-1.2218487496163564</c:v>
                </c:pt>
                <c:pt idx="113">
                  <c:v>-1.2218487496163564</c:v>
                </c:pt>
                <c:pt idx="115">
                  <c:v>-1.154901959985743</c:v>
                </c:pt>
                <c:pt idx="116">
                  <c:v>-1.154901959985743</c:v>
                </c:pt>
                <c:pt idx="118">
                  <c:v>-1.0969100130080565</c:v>
                </c:pt>
                <c:pt idx="119">
                  <c:v>-1.0969100130080565</c:v>
                </c:pt>
                <c:pt idx="121">
                  <c:v>-1.0457574905606752</c:v>
                </c:pt>
                <c:pt idx="122">
                  <c:v>-1.0457574905606752</c:v>
                </c:pt>
                <c:pt idx="130">
                  <c:v>-0.6989700043360187</c:v>
                </c:pt>
                <c:pt idx="131">
                  <c:v>-0.6989700043360187</c:v>
                </c:pt>
                <c:pt idx="133">
                  <c:v>-0.5228787452803376</c:v>
                </c:pt>
                <c:pt idx="134">
                  <c:v>-0.5228787452803376</c:v>
                </c:pt>
                <c:pt idx="136">
                  <c:v>-0.3979400086720376</c:v>
                </c:pt>
                <c:pt idx="137">
                  <c:v>-0.3979400086720376</c:v>
                </c:pt>
                <c:pt idx="142">
                  <c:v>-0.2218487496163563</c:v>
                </c:pt>
                <c:pt idx="143">
                  <c:v>-0.2218487496163563</c:v>
                </c:pt>
                <c:pt idx="145">
                  <c:v>-0.15490195998574313</c:v>
                </c:pt>
                <c:pt idx="146">
                  <c:v>-0.15490195998574313</c:v>
                </c:pt>
                <c:pt idx="148">
                  <c:v>-0.09691001300805639</c:v>
                </c:pt>
                <c:pt idx="149">
                  <c:v>-0.09691001300805639</c:v>
                </c:pt>
                <c:pt idx="151">
                  <c:v>-0.04575749056067517</c:v>
                </c:pt>
                <c:pt idx="152">
                  <c:v>-0.04575749056067517</c:v>
                </c:pt>
                <c:pt idx="160">
                  <c:v>0.3010299956639812</c:v>
                </c:pt>
                <c:pt idx="161">
                  <c:v>0.3010299956639812</c:v>
                </c:pt>
                <c:pt idx="163">
                  <c:v>0.47712125471966244</c:v>
                </c:pt>
                <c:pt idx="164">
                  <c:v>0.47712125471966244</c:v>
                </c:pt>
                <c:pt idx="166">
                  <c:v>0.6020599913279624</c:v>
                </c:pt>
                <c:pt idx="167">
                  <c:v>0.6020599913279624</c:v>
                </c:pt>
                <c:pt idx="172">
                  <c:v>0.7781512503836437</c:v>
                </c:pt>
                <c:pt idx="173">
                  <c:v>0.7781512503836437</c:v>
                </c:pt>
                <c:pt idx="175">
                  <c:v>0.8450980400142569</c:v>
                </c:pt>
                <c:pt idx="176">
                  <c:v>0.8450980400142569</c:v>
                </c:pt>
                <c:pt idx="178">
                  <c:v>0.9030899869919435</c:v>
                </c:pt>
                <c:pt idx="179">
                  <c:v>0.9030899869919435</c:v>
                </c:pt>
                <c:pt idx="181">
                  <c:v>0.9542425094393249</c:v>
                </c:pt>
                <c:pt idx="182">
                  <c:v>0.9542425094393249</c:v>
                </c:pt>
                <c:pt idx="190">
                  <c:v>1.3010299956639813</c:v>
                </c:pt>
                <c:pt idx="191">
                  <c:v>1.3010299956639813</c:v>
                </c:pt>
                <c:pt idx="193">
                  <c:v>1.4771212547196624</c:v>
                </c:pt>
                <c:pt idx="194">
                  <c:v>1.4771212547196624</c:v>
                </c:pt>
                <c:pt idx="196">
                  <c:v>1.6020599913279623</c:v>
                </c:pt>
                <c:pt idx="197">
                  <c:v>1.6020599913279623</c:v>
                </c:pt>
                <c:pt idx="202">
                  <c:v>1.7781512503836436</c:v>
                </c:pt>
                <c:pt idx="203">
                  <c:v>1.7781512503836436</c:v>
                </c:pt>
                <c:pt idx="205">
                  <c:v>1.845098040014257</c:v>
                </c:pt>
                <c:pt idx="206">
                  <c:v>1.845098040014257</c:v>
                </c:pt>
                <c:pt idx="208">
                  <c:v>1.9030899869919435</c:v>
                </c:pt>
                <c:pt idx="209">
                  <c:v>1.9030899869919435</c:v>
                </c:pt>
                <c:pt idx="211">
                  <c:v>1.954242509439325</c:v>
                </c:pt>
                <c:pt idx="212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Graph_Data!$AI$7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Graph_Data!$AI$11:$AI$226</c:f>
              <c:numCache>
                <c:ptCount val="216"/>
                <c:pt idx="94">
                  <c:v>-2</c:v>
                </c:pt>
                <c:pt idx="95">
                  <c:v>-2</c:v>
                </c:pt>
                <c:pt idx="109">
                  <c:v>-1.3010299956639813</c:v>
                </c:pt>
                <c:pt idx="110">
                  <c:v>-1.3010299956639813</c:v>
                </c:pt>
                <c:pt idx="124">
                  <c:v>-1</c:v>
                </c:pt>
                <c:pt idx="125">
                  <c:v>-1</c:v>
                </c:pt>
                <c:pt idx="139">
                  <c:v>-0.3010299956639812</c:v>
                </c:pt>
                <c:pt idx="140">
                  <c:v>-0.3010299956639812</c:v>
                </c:pt>
                <c:pt idx="154">
                  <c:v>0</c:v>
                </c:pt>
                <c:pt idx="155">
                  <c:v>0</c:v>
                </c:pt>
                <c:pt idx="169">
                  <c:v>0.6989700043360189</c:v>
                </c:pt>
                <c:pt idx="170">
                  <c:v>0.6989700043360189</c:v>
                </c:pt>
                <c:pt idx="184">
                  <c:v>1</c:v>
                </c:pt>
                <c:pt idx="185">
                  <c:v>1</c:v>
                </c:pt>
                <c:pt idx="199">
                  <c:v>1.6989700043360187</c:v>
                </c:pt>
                <c:pt idx="200">
                  <c:v>1.6989700043360187</c:v>
                </c:pt>
                <c:pt idx="214">
                  <c:v>2</c:v>
                </c:pt>
                <c:pt idx="215">
                  <c:v>2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Graph_Data!$Y$7</c:f>
              <c:strCache>
                <c:ptCount val="1"/>
                <c:pt idx="0">
                  <c:v>１階_1cm近似直線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Graph_Data!$Y$11:$Y$226</c:f>
              <c:numCache>
                <c:ptCount val="216"/>
                <c:pt idx="91">
                  <c:v>1.2010007965251281</c:v>
                </c:pt>
                <c:pt idx="92">
                  <c:v>-3.521553612552327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Graph_Data!$AJ$7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Graph_Data!$AJ$11:$AJ$226</c:f>
              <c:numCache>
                <c:ptCount val="216"/>
                <c:pt idx="97">
                  <c:v>-1.8239087409443189</c:v>
                </c:pt>
                <c:pt idx="98">
                  <c:v>-1.8239087409443189</c:v>
                </c:pt>
                <c:pt idx="127">
                  <c:v>-0.8239087409443188</c:v>
                </c:pt>
                <c:pt idx="128">
                  <c:v>-0.8239087409443188</c:v>
                </c:pt>
                <c:pt idx="157">
                  <c:v>0.17609125905568124</c:v>
                </c:pt>
                <c:pt idx="158">
                  <c:v>0.17609125905568124</c:v>
                </c:pt>
                <c:pt idx="187">
                  <c:v>1.1760912590556813</c:v>
                </c:pt>
                <c:pt idx="188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Graph_Data!$P$7</c:f>
              <c:strCache>
                <c:ptCount val="1"/>
                <c:pt idx="0">
                  <c:v>１階_1cm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Graph_Data!$P$11:$P$226</c:f>
              <c:numCache>
                <c:ptCount val="216"/>
                <c:pt idx="0">
                  <c:v>0.893206753059848</c:v>
                </c:pt>
                <c:pt idx="1">
                  <c:v>0.8920946026904804</c:v>
                </c:pt>
                <c:pt idx="2">
                  <c:v>0.9084850188786497</c:v>
                </c:pt>
                <c:pt idx="3">
                  <c:v>1.0253058652647702</c:v>
                </c:pt>
                <c:pt idx="4">
                  <c:v>1.0863598306747482</c:v>
                </c:pt>
                <c:pt idx="5">
                  <c:v>1.0969100130080565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0.9444826721501687</c:v>
                </c:pt>
                <c:pt idx="9">
                  <c:v>0.9180303367848801</c:v>
                </c:pt>
                <c:pt idx="10">
                  <c:v>1.0293837776852097</c:v>
                </c:pt>
                <c:pt idx="11">
                  <c:v>1.0374264979406236</c:v>
                </c:pt>
                <c:pt idx="12">
                  <c:v>1.0413926851582251</c:v>
                </c:pt>
                <c:pt idx="13">
                  <c:v>0.9025467793139914</c:v>
                </c:pt>
                <c:pt idx="14">
                  <c:v>1.0207754881935578</c:v>
                </c:pt>
                <c:pt idx="15">
                  <c:v>1.0413926851582251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2">
                  <c:v>1.0293837776852097</c:v>
                </c:pt>
                <c:pt idx="23">
                  <c:v>1.0413926851582251</c:v>
                </c:pt>
                <c:pt idx="24">
                  <c:v>1.0681858617461617</c:v>
                </c:pt>
                <c:pt idx="25">
                  <c:v>1.0128372247051722</c:v>
                </c:pt>
                <c:pt idx="26">
                  <c:v>1.0791812460476249</c:v>
                </c:pt>
                <c:pt idx="27">
                  <c:v>1.089905111439398</c:v>
                </c:pt>
                <c:pt idx="28">
                  <c:v>1.1271047983648077</c:v>
                </c:pt>
                <c:pt idx="29">
                  <c:v>1.1205739312058498</c:v>
                </c:pt>
                <c:pt idx="30">
                  <c:v>1.021189299069938</c:v>
                </c:pt>
                <c:pt idx="31">
                  <c:v>1.021189299069938</c:v>
                </c:pt>
                <c:pt idx="32">
                  <c:v>1.0086001717619175</c:v>
                </c:pt>
                <c:pt idx="33">
                  <c:v>1.0043213737826426</c:v>
                </c:pt>
                <c:pt idx="34">
                  <c:v>1</c:v>
                </c:pt>
                <c:pt idx="35">
                  <c:v>1.0334237554869496</c:v>
                </c:pt>
                <c:pt idx="36">
                  <c:v>1.0334237554869496</c:v>
                </c:pt>
                <c:pt idx="37">
                  <c:v>1.0334237554869496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4">
                  <c:v>0.8095597146352678</c:v>
                </c:pt>
                <c:pt idx="45">
                  <c:v>0.8142475957319202</c:v>
                </c:pt>
                <c:pt idx="46">
                  <c:v>0.829303772831025</c:v>
                </c:pt>
                <c:pt idx="47">
                  <c:v>0.7109631189952758</c:v>
                </c:pt>
                <c:pt idx="48">
                  <c:v>0.8639173769578604</c:v>
                </c:pt>
                <c:pt idx="49">
                  <c:v>0.8943160626844384</c:v>
                </c:pt>
                <c:pt idx="50">
                  <c:v>0.9740509027928773</c:v>
                </c:pt>
                <c:pt idx="51">
                  <c:v>0.9566485792052033</c:v>
                </c:pt>
                <c:pt idx="52">
                  <c:v>0.8739015978644614</c:v>
                </c:pt>
                <c:pt idx="53">
                  <c:v>0.8369567370595504</c:v>
                </c:pt>
                <c:pt idx="54">
                  <c:v>0.8195439355418687</c:v>
                </c:pt>
                <c:pt idx="55">
                  <c:v>0.8432327780980095</c:v>
                </c:pt>
                <c:pt idx="56">
                  <c:v>0.8375884382355113</c:v>
                </c:pt>
                <c:pt idx="57">
                  <c:v>0.8142475957319202</c:v>
                </c:pt>
                <c:pt idx="58">
                  <c:v>0.9400181550076633</c:v>
                </c:pt>
                <c:pt idx="59">
                  <c:v>0.9772662124272927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Graph_Data!$H$7</c:f>
              <c:strCache>
                <c:ptCount val="1"/>
                <c:pt idx="0">
                  <c:v>１階_1m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Graph_Data!$H$11:$H$226</c:f>
              <c:numCache>
                <c:ptCount val="216"/>
                <c:pt idx="0">
                  <c:v>0.998299376987462</c:v>
                </c:pt>
                <c:pt idx="22">
                  <c:v>1.0453636342741977</c:v>
                </c:pt>
                <c:pt idx="44">
                  <c:v>0.880406571492704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Graph_Data!$AC$7</c:f>
              <c:strCache>
                <c:ptCount val="1"/>
                <c:pt idx="0">
                  <c:v>２階_1m近似直線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Graph_Data!$Z$11:$Z$226</c:f>
              <c:numCache>
                <c:ptCount val="216"/>
                <c:pt idx="91">
                  <c:v>1.169371997721799</c:v>
                </c:pt>
                <c:pt idx="92">
                  <c:v>-2.799427098141083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Graph_Data!$T$7</c:f>
              <c:strCache>
                <c:ptCount val="1"/>
                <c:pt idx="0">
                  <c:v>２階_1m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Graph_Data!$T$11:$T$226</c:f>
              <c:numCache>
                <c:ptCount val="216"/>
                <c:pt idx="0">
                  <c:v>1.0413926851582251</c:v>
                </c:pt>
                <c:pt idx="1">
                  <c:v>1.0644579892269184</c:v>
                </c:pt>
                <c:pt idx="2">
                  <c:v>1.0334237554869496</c:v>
                </c:pt>
                <c:pt idx="3">
                  <c:v>1.0334237554869496</c:v>
                </c:pt>
                <c:pt idx="4">
                  <c:v>1.08278537031645</c:v>
                </c:pt>
                <c:pt idx="5">
                  <c:v>1.0934216851622351</c:v>
                </c:pt>
                <c:pt idx="6">
                  <c:v>1.0569048513364727</c:v>
                </c:pt>
                <c:pt idx="7">
                  <c:v>1.1139433523068367</c:v>
                </c:pt>
                <c:pt idx="8">
                  <c:v>1.0718820073061255</c:v>
                </c:pt>
                <c:pt idx="9">
                  <c:v>1.0718820073061255</c:v>
                </c:pt>
                <c:pt idx="10">
                  <c:v>1.0334237554869496</c:v>
                </c:pt>
                <c:pt idx="11">
                  <c:v>1.0606978403536116</c:v>
                </c:pt>
                <c:pt idx="12">
                  <c:v>1.0530784434834197</c:v>
                </c:pt>
                <c:pt idx="13">
                  <c:v>1.0492180226701815</c:v>
                </c:pt>
                <c:pt idx="14">
                  <c:v>1.0530784434834197</c:v>
                </c:pt>
                <c:pt idx="15">
                  <c:v>1.0413926851582251</c:v>
                </c:pt>
                <c:pt idx="16">
                  <c:v>1.0453229787866574</c:v>
                </c:pt>
                <c:pt idx="17">
                  <c:v>1.0530784434834197</c:v>
                </c:pt>
                <c:pt idx="18">
                  <c:v>1.0969100130080565</c:v>
                </c:pt>
                <c:pt idx="19">
                  <c:v>1.0606978403536116</c:v>
                </c:pt>
                <c:pt idx="20">
                  <c:v>1.0293837776852097</c:v>
                </c:pt>
                <c:pt idx="22">
                  <c:v>1.0334237554869496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0.9947569445876282</c:v>
                </c:pt>
                <c:pt idx="27">
                  <c:v>0.9965116721541787</c:v>
                </c:pt>
                <c:pt idx="28">
                  <c:v>0.9943171526696367</c:v>
                </c:pt>
                <c:pt idx="29">
                  <c:v>0.9956351945975499</c:v>
                </c:pt>
                <c:pt idx="30">
                  <c:v>0.9965116721541787</c:v>
                </c:pt>
                <c:pt idx="31">
                  <c:v>0.9965116721541787</c:v>
                </c:pt>
                <c:pt idx="32">
                  <c:v>1</c:v>
                </c:pt>
                <c:pt idx="33">
                  <c:v>0.9991305412873711</c:v>
                </c:pt>
                <c:pt idx="34">
                  <c:v>0.9978230807457255</c:v>
                </c:pt>
                <c:pt idx="35">
                  <c:v>0.9956351945975499</c:v>
                </c:pt>
                <c:pt idx="36">
                  <c:v>0.9978230807457255</c:v>
                </c:pt>
                <c:pt idx="37">
                  <c:v>0.9978230807457255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0.9982593384236987</c:v>
                </c:pt>
                <c:pt idx="44">
                  <c:v>0.8234742291703011</c:v>
                </c:pt>
                <c:pt idx="45">
                  <c:v>0.8904210188009143</c:v>
                </c:pt>
                <c:pt idx="46">
                  <c:v>0.9106244048892013</c:v>
                </c:pt>
                <c:pt idx="47">
                  <c:v>0.9003671286564703</c:v>
                </c:pt>
                <c:pt idx="48">
                  <c:v>1.0253058652647702</c:v>
                </c:pt>
                <c:pt idx="49">
                  <c:v>1.0253058652647702</c:v>
                </c:pt>
                <c:pt idx="50">
                  <c:v>1.021189299069938</c:v>
                </c:pt>
                <c:pt idx="51">
                  <c:v>1.0374264979406236</c:v>
                </c:pt>
                <c:pt idx="52">
                  <c:v>1.0128372247051722</c:v>
                </c:pt>
                <c:pt idx="53">
                  <c:v>1.0170333392987803</c:v>
                </c:pt>
                <c:pt idx="54">
                  <c:v>0.9095560292411753</c:v>
                </c:pt>
                <c:pt idx="55">
                  <c:v>0.9652017010259121</c:v>
                </c:pt>
                <c:pt idx="56">
                  <c:v>0.9666109866819343</c:v>
                </c:pt>
                <c:pt idx="57">
                  <c:v>0.9420080530223133</c:v>
                </c:pt>
                <c:pt idx="58">
                  <c:v>0.912753303671323</c:v>
                </c:pt>
                <c:pt idx="59">
                  <c:v>0.9731278535996987</c:v>
                </c:pt>
                <c:pt idx="60">
                  <c:v>0.9758911364017928</c:v>
                </c:pt>
                <c:pt idx="61">
                  <c:v>0.9934362304976118</c:v>
                </c:pt>
                <c:pt idx="62">
                  <c:v>1.0755469613925308</c:v>
                </c:pt>
                <c:pt idx="63">
                  <c:v>1.0644579892269184</c:v>
                </c:pt>
                <c:pt idx="64">
                  <c:v>1.0492180226701815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Graph_Data!$I$7</c:f>
              <c:strCache>
                <c:ptCount val="1"/>
                <c:pt idx="0">
                  <c:v>１階_2m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Graph_Data!$I$11:$I$226</c:f>
              <c:numCache>
                <c:ptCount val="216"/>
                <c:pt idx="0">
                  <c:v>1.0393731178303194</c:v>
                </c:pt>
                <c:pt idx="22">
                  <c:v>1.0466996654919742</c:v>
                </c:pt>
                <c:pt idx="44">
                  <c:v>0.8862133778501058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Graph_Data!$AA$7</c:f>
              <c:strCache>
                <c:ptCount val="1"/>
                <c:pt idx="0">
                  <c:v>１階_2m近似直線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Graph_Data!$F$11:$F$2036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Graph_Data!$AA$11:$AA$226</c:f>
              <c:numCache>
                <c:ptCount val="216"/>
                <c:pt idx="91">
                  <c:v>1.260433294796012</c:v>
                </c:pt>
                <c:pt idx="92">
                  <c:v>-4.237097168543732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Graph_Data!$R$7</c:f>
              <c:strCache>
                <c:ptCount val="1"/>
                <c:pt idx="0">
                  <c:v>１階_2m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Graph_Data!$R$11:$R$226</c:f>
              <c:numCache>
                <c:ptCount val="216"/>
                <c:pt idx="0">
                  <c:v>0.9014583213961124</c:v>
                </c:pt>
                <c:pt idx="1">
                  <c:v>0.9344984512435677</c:v>
                </c:pt>
                <c:pt idx="2">
                  <c:v>0.9057958803678685</c:v>
                </c:pt>
                <c:pt idx="3">
                  <c:v>1.021189299069938</c:v>
                </c:pt>
                <c:pt idx="4">
                  <c:v>1.08278537031645</c:v>
                </c:pt>
                <c:pt idx="5">
                  <c:v>1.0969100130080565</c:v>
                </c:pt>
                <c:pt idx="6">
                  <c:v>1.1238516409670858</c:v>
                </c:pt>
                <c:pt idx="7">
                  <c:v>1.1205739312058498</c:v>
                </c:pt>
                <c:pt idx="8">
                  <c:v>0.9614210940664483</c:v>
                </c:pt>
                <c:pt idx="9">
                  <c:v>1.1613680022349748</c:v>
                </c:pt>
                <c:pt idx="10">
                  <c:v>1.0293837776852097</c:v>
                </c:pt>
                <c:pt idx="11">
                  <c:v>1.0334237554869496</c:v>
                </c:pt>
                <c:pt idx="12">
                  <c:v>1.0413926851582251</c:v>
                </c:pt>
                <c:pt idx="13">
                  <c:v>1.14921911265538</c:v>
                </c:pt>
                <c:pt idx="14">
                  <c:v>1.0253058652647702</c:v>
                </c:pt>
                <c:pt idx="15">
                  <c:v>1.0413926851582251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2">
                  <c:v>1.0293837776852097</c:v>
                </c:pt>
                <c:pt idx="23">
                  <c:v>1.0413926851582251</c:v>
                </c:pt>
                <c:pt idx="24">
                  <c:v>1.0718820073061255</c:v>
                </c:pt>
                <c:pt idx="25">
                  <c:v>1.0170333392987803</c:v>
                </c:pt>
                <c:pt idx="26">
                  <c:v>1.08278537031645</c:v>
                </c:pt>
                <c:pt idx="27">
                  <c:v>1.0934216851622351</c:v>
                </c:pt>
                <c:pt idx="28">
                  <c:v>1.130333768495006</c:v>
                </c:pt>
                <c:pt idx="29">
                  <c:v>1.1172712956557642</c:v>
                </c:pt>
                <c:pt idx="30">
                  <c:v>1.021189299069938</c:v>
                </c:pt>
                <c:pt idx="31">
                  <c:v>1.0253058652647702</c:v>
                </c:pt>
                <c:pt idx="32">
                  <c:v>1.0086001717619175</c:v>
                </c:pt>
                <c:pt idx="33">
                  <c:v>1.0043213737826426</c:v>
                </c:pt>
                <c:pt idx="34">
                  <c:v>1</c:v>
                </c:pt>
                <c:pt idx="35">
                  <c:v>1.0374264979406236</c:v>
                </c:pt>
                <c:pt idx="36">
                  <c:v>1.0334237554869496</c:v>
                </c:pt>
                <c:pt idx="37">
                  <c:v>1.0334237554869496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4">
                  <c:v>0.8162412999917831</c:v>
                </c:pt>
                <c:pt idx="45">
                  <c:v>0.8208579894396999</c:v>
                </c:pt>
                <c:pt idx="46">
                  <c:v>0.8260748027008264</c:v>
                </c:pt>
                <c:pt idx="47">
                  <c:v>0.7810369386211319</c:v>
                </c:pt>
                <c:pt idx="48">
                  <c:v>0.8603380065709937</c:v>
                </c:pt>
                <c:pt idx="49">
                  <c:v>0.8937617620579434</c:v>
                </c:pt>
                <c:pt idx="50">
                  <c:v>0.9938769149412112</c:v>
                </c:pt>
                <c:pt idx="51">
                  <c:v>0.9242792860618817</c:v>
                </c:pt>
                <c:pt idx="52">
                  <c:v>0.8819549713396005</c:v>
                </c:pt>
                <c:pt idx="53">
                  <c:v>0.8382192219076258</c:v>
                </c:pt>
                <c:pt idx="54">
                  <c:v>0.8656960599160706</c:v>
                </c:pt>
                <c:pt idx="55">
                  <c:v>0.8674674878590515</c:v>
                </c:pt>
                <c:pt idx="56">
                  <c:v>1.021189299069938</c:v>
                </c:pt>
                <c:pt idx="57">
                  <c:v>0.8208579894396999</c:v>
                </c:pt>
                <c:pt idx="58">
                  <c:v>0.9547247909790629</c:v>
                </c:pt>
                <c:pt idx="59">
                  <c:v>1.0128372247051722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Graph_Data!$AK$7</c:f>
              <c:strCache>
                <c:ptCount val="1"/>
                <c:pt idx="0">
                  <c:v>0.05事故前BG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Graph_Data!$AK$11:$AK$226</c:f>
              <c:numCache>
                <c:ptCount val="216"/>
                <c:pt idx="66">
                  <c:v>-1.3010299956639813</c:v>
                </c:pt>
                <c:pt idx="67">
                  <c:v>-1.3010299956639813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Graph_Data!$AN$7</c:f>
              <c:strCache>
                <c:ptCount val="1"/>
                <c:pt idx="0">
                  <c:v>1階2mBG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Graph_Data!$AN$11:$AN$226</c:f>
              <c:numCache>
                <c:ptCount val="216"/>
                <c:pt idx="69">
                  <c:v>5</c:v>
                </c:pt>
                <c:pt idx="70">
                  <c:v>-5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Graph_Data!$AM$7</c:f>
              <c:strCache>
                <c:ptCount val="1"/>
                <c:pt idx="0">
                  <c:v>1階1mBG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Graph_Data!$AM$11:$AM$226</c:f>
              <c:numCache>
                <c:ptCount val="216"/>
                <c:pt idx="72">
                  <c:v>5</c:v>
                </c:pt>
                <c:pt idx="73">
                  <c:v>-5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Graph_Data!$AL$7</c:f>
              <c:strCache>
                <c:ptCount val="1"/>
                <c:pt idx="0">
                  <c:v>1階1cmBG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Graph_Data!$AL$11:$AL$226</c:f>
              <c:numCache>
                <c:ptCount val="216"/>
                <c:pt idx="75">
                  <c:v>5</c:v>
                </c:pt>
                <c:pt idx="76">
                  <c:v>-5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Graph_Data!$AR$7</c:f>
              <c:strCache>
                <c:ptCount val="1"/>
                <c:pt idx="0">
                  <c:v>Cs-137の減衰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Graph_Data!$AR$11:$AR$226</c:f>
              <c:numCache>
                <c:ptCount val="216"/>
                <c:pt idx="87">
                  <c:v>0.6989700043360189</c:v>
                </c:pt>
                <c:pt idx="88">
                  <c:v>0.6889711860754673</c:v>
                </c:pt>
                <c:pt idx="89">
                  <c:v>0.49940342675861776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Graph_Data!$AS$7</c:f>
              <c:strCache>
                <c:ptCount val="1"/>
                <c:pt idx="0">
                  <c:v>I-131の減衰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Graph_Data!$F$11:$F$226</c:f>
              <c:numCache>
                <c:ptCount val="216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2">
                  <c:v>373</c:v>
                </c:pt>
                <c:pt idx="23">
                  <c:v>373</c:v>
                </c:pt>
                <c:pt idx="24">
                  <c:v>373</c:v>
                </c:pt>
                <c:pt idx="25">
                  <c:v>373</c:v>
                </c:pt>
                <c:pt idx="26">
                  <c:v>373</c:v>
                </c:pt>
                <c:pt idx="27">
                  <c:v>373</c:v>
                </c:pt>
                <c:pt idx="28">
                  <c:v>373</c:v>
                </c:pt>
                <c:pt idx="29">
                  <c:v>373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442</c:v>
                </c:pt>
                <c:pt idx="60">
                  <c:v>442</c:v>
                </c:pt>
                <c:pt idx="61">
                  <c:v>442</c:v>
                </c:pt>
                <c:pt idx="62">
                  <c:v>442</c:v>
                </c:pt>
                <c:pt idx="63">
                  <c:v>442</c:v>
                </c:pt>
                <c:pt idx="64">
                  <c:v>442</c:v>
                </c:pt>
                <c:pt idx="66">
                  <c:v>0</c:v>
                </c:pt>
                <c:pt idx="67">
                  <c:v>7305</c:v>
                </c:pt>
                <c:pt idx="69">
                  <c:v>3403.617217146449</c:v>
                </c:pt>
                <c:pt idx="70">
                  <c:v>3403.617217146449</c:v>
                </c:pt>
                <c:pt idx="72">
                  <c:v>4547.039576907474</c:v>
                </c:pt>
                <c:pt idx="73">
                  <c:v>4547.039576907474</c:v>
                </c:pt>
                <c:pt idx="75">
                  <c:v>3870.222204705503</c:v>
                </c:pt>
                <c:pt idx="76">
                  <c:v>3870.222204705503</c:v>
                </c:pt>
                <c:pt idx="78">
                  <c:v>4786.313819843105</c:v>
                </c:pt>
                <c:pt idx="79">
                  <c:v>4786.313819843105</c:v>
                </c:pt>
                <c:pt idx="81">
                  <c:v>5342.427450957147</c:v>
                </c:pt>
                <c:pt idx="82">
                  <c:v>5342.427450957147</c:v>
                </c:pt>
                <c:pt idx="84">
                  <c:v>4647.421124853284</c:v>
                </c:pt>
                <c:pt idx="85">
                  <c:v>4647.421124853284</c:v>
                </c:pt>
                <c:pt idx="87">
                  <c:v>0</c:v>
                </c:pt>
                <c:pt idx="88">
                  <c:v>366</c:v>
                </c:pt>
                <c:pt idx="89">
                  <c:v>7305</c:v>
                </c:pt>
                <c:pt idx="91">
                  <c:v>0</c:v>
                </c:pt>
                <c:pt idx="92">
                  <c:v>7305</c:v>
                </c:pt>
                <c:pt idx="94">
                  <c:v>0</c:v>
                </c:pt>
                <c:pt idx="95">
                  <c:v>7305</c:v>
                </c:pt>
                <c:pt idx="97">
                  <c:v>0</c:v>
                </c:pt>
                <c:pt idx="98">
                  <c:v>7305</c:v>
                </c:pt>
                <c:pt idx="100">
                  <c:v>0</c:v>
                </c:pt>
                <c:pt idx="101">
                  <c:v>7305</c:v>
                </c:pt>
                <c:pt idx="103">
                  <c:v>0</c:v>
                </c:pt>
                <c:pt idx="104">
                  <c:v>7305</c:v>
                </c:pt>
                <c:pt idx="106">
                  <c:v>0</c:v>
                </c:pt>
                <c:pt idx="107">
                  <c:v>7305</c:v>
                </c:pt>
                <c:pt idx="109">
                  <c:v>0</c:v>
                </c:pt>
                <c:pt idx="110">
                  <c:v>7305</c:v>
                </c:pt>
                <c:pt idx="112">
                  <c:v>0</c:v>
                </c:pt>
                <c:pt idx="113">
                  <c:v>7305</c:v>
                </c:pt>
                <c:pt idx="115">
                  <c:v>0</c:v>
                </c:pt>
                <c:pt idx="116">
                  <c:v>7305</c:v>
                </c:pt>
                <c:pt idx="118">
                  <c:v>0</c:v>
                </c:pt>
                <c:pt idx="119">
                  <c:v>7305</c:v>
                </c:pt>
                <c:pt idx="121">
                  <c:v>0</c:v>
                </c:pt>
                <c:pt idx="122">
                  <c:v>7305</c:v>
                </c:pt>
                <c:pt idx="124">
                  <c:v>0</c:v>
                </c:pt>
                <c:pt idx="125">
                  <c:v>7305</c:v>
                </c:pt>
                <c:pt idx="127">
                  <c:v>0</c:v>
                </c:pt>
                <c:pt idx="128">
                  <c:v>7305</c:v>
                </c:pt>
                <c:pt idx="130">
                  <c:v>0</c:v>
                </c:pt>
                <c:pt idx="131">
                  <c:v>7305</c:v>
                </c:pt>
                <c:pt idx="133">
                  <c:v>0</c:v>
                </c:pt>
                <c:pt idx="134">
                  <c:v>7305</c:v>
                </c:pt>
                <c:pt idx="136">
                  <c:v>0</c:v>
                </c:pt>
                <c:pt idx="137">
                  <c:v>7305</c:v>
                </c:pt>
                <c:pt idx="139">
                  <c:v>0</c:v>
                </c:pt>
                <c:pt idx="140">
                  <c:v>7305</c:v>
                </c:pt>
                <c:pt idx="142">
                  <c:v>0</c:v>
                </c:pt>
                <c:pt idx="143">
                  <c:v>7305</c:v>
                </c:pt>
                <c:pt idx="145">
                  <c:v>0</c:v>
                </c:pt>
                <c:pt idx="146">
                  <c:v>7305</c:v>
                </c:pt>
                <c:pt idx="148">
                  <c:v>0</c:v>
                </c:pt>
                <c:pt idx="149">
                  <c:v>7305</c:v>
                </c:pt>
                <c:pt idx="151">
                  <c:v>0</c:v>
                </c:pt>
                <c:pt idx="152">
                  <c:v>7305</c:v>
                </c:pt>
                <c:pt idx="154">
                  <c:v>0</c:v>
                </c:pt>
                <c:pt idx="155">
                  <c:v>7305</c:v>
                </c:pt>
                <c:pt idx="157">
                  <c:v>0</c:v>
                </c:pt>
                <c:pt idx="158">
                  <c:v>7305</c:v>
                </c:pt>
                <c:pt idx="160">
                  <c:v>0</c:v>
                </c:pt>
                <c:pt idx="161">
                  <c:v>7305</c:v>
                </c:pt>
                <c:pt idx="163">
                  <c:v>0</c:v>
                </c:pt>
                <c:pt idx="164">
                  <c:v>7305</c:v>
                </c:pt>
                <c:pt idx="166">
                  <c:v>0</c:v>
                </c:pt>
                <c:pt idx="167">
                  <c:v>7305</c:v>
                </c:pt>
                <c:pt idx="169">
                  <c:v>0</c:v>
                </c:pt>
                <c:pt idx="170">
                  <c:v>7305</c:v>
                </c:pt>
                <c:pt idx="172">
                  <c:v>0</c:v>
                </c:pt>
                <c:pt idx="173">
                  <c:v>7305</c:v>
                </c:pt>
                <c:pt idx="175">
                  <c:v>0</c:v>
                </c:pt>
                <c:pt idx="176">
                  <c:v>7305</c:v>
                </c:pt>
                <c:pt idx="178">
                  <c:v>0</c:v>
                </c:pt>
                <c:pt idx="179">
                  <c:v>7305</c:v>
                </c:pt>
                <c:pt idx="181">
                  <c:v>0</c:v>
                </c:pt>
                <c:pt idx="182">
                  <c:v>7305</c:v>
                </c:pt>
                <c:pt idx="184">
                  <c:v>0</c:v>
                </c:pt>
                <c:pt idx="185">
                  <c:v>7305</c:v>
                </c:pt>
                <c:pt idx="187">
                  <c:v>0</c:v>
                </c:pt>
                <c:pt idx="188">
                  <c:v>7305</c:v>
                </c:pt>
                <c:pt idx="190">
                  <c:v>0</c:v>
                </c:pt>
                <c:pt idx="191">
                  <c:v>7305</c:v>
                </c:pt>
                <c:pt idx="193">
                  <c:v>0</c:v>
                </c:pt>
                <c:pt idx="194">
                  <c:v>7305</c:v>
                </c:pt>
                <c:pt idx="196">
                  <c:v>0</c:v>
                </c:pt>
                <c:pt idx="197">
                  <c:v>7305</c:v>
                </c:pt>
                <c:pt idx="199">
                  <c:v>0</c:v>
                </c:pt>
                <c:pt idx="200">
                  <c:v>7305</c:v>
                </c:pt>
                <c:pt idx="202">
                  <c:v>0</c:v>
                </c:pt>
                <c:pt idx="203">
                  <c:v>7305</c:v>
                </c:pt>
                <c:pt idx="205">
                  <c:v>0</c:v>
                </c:pt>
                <c:pt idx="206">
                  <c:v>7305</c:v>
                </c:pt>
                <c:pt idx="208">
                  <c:v>0</c:v>
                </c:pt>
                <c:pt idx="209">
                  <c:v>7305</c:v>
                </c:pt>
                <c:pt idx="211">
                  <c:v>0</c:v>
                </c:pt>
                <c:pt idx="212">
                  <c:v>7305</c:v>
                </c:pt>
                <c:pt idx="214">
                  <c:v>0</c:v>
                </c:pt>
                <c:pt idx="215">
                  <c:v>7305</c:v>
                </c:pt>
              </c:numCache>
            </c:numRef>
          </c:xVal>
          <c:yVal>
            <c:numRef>
              <c:f>Graph_Data!$AS$11:$AS$226</c:f>
              <c:numCache>
                <c:ptCount val="216"/>
                <c:pt idx="87">
                  <c:v>4.076640443670342</c:v>
                </c:pt>
                <c:pt idx="88">
                  <c:v>-9.659938460043437</c:v>
                </c:pt>
                <c:pt idx="89">
                  <c:v>-270.09196308537105</c:v>
                </c:pt>
              </c:numCache>
            </c:numRef>
          </c:yVal>
          <c:smooth val="0"/>
        </c:ser>
        <c:axId val="36046990"/>
        <c:axId val="55987455"/>
      </c:scatterChart>
      <c:valAx>
        <c:axId val="36046990"/>
        <c:scaling>
          <c:orientation val="minMax"/>
          <c:max val="6940"/>
          <c:min val="0"/>
        </c:scaling>
        <c:axPos val="b"/>
        <c:delete val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987455"/>
        <c:crosses val="autoZero"/>
        <c:crossBetween val="midCat"/>
        <c:dispUnits/>
        <c:majorUnit val="365"/>
      </c:valAx>
      <c:valAx>
        <c:axId val="55987455"/>
        <c:scaling>
          <c:orientation val="minMax"/>
          <c:max val="2"/>
          <c:min val="-2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46990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24</xdr:col>
      <xdr:colOff>0</xdr:colOff>
      <xdr:row>10</xdr:row>
      <xdr:rowOff>0</xdr:rowOff>
    </xdr:to>
    <xdr:sp>
      <xdr:nvSpPr>
        <xdr:cNvPr id="1" name="Rectangle 27"/>
        <xdr:cNvSpPr>
          <a:spLocks/>
        </xdr:cNvSpPr>
      </xdr:nvSpPr>
      <xdr:spPr>
        <a:xfrm>
          <a:off x="4000500" y="1495425"/>
          <a:ext cx="2857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/>
        <a:p>
          <a:pPr algn="r">
            <a:defRPr/>
          </a:pPr>
          <a:r>
            <a:rPr lang="en-US" cap="none" sz="800" b="0" i="1" u="none" baseline="0"/>
            <a:t>powered by </a:t>
          </a:r>
          <a:r>
            <a:rPr lang="en-US" cap="none" sz="800" b="1" i="1" u="none" baseline="0">
              <a:solidFill>
                <a:srgbClr val="0000FF"/>
              </a:solidFill>
            </a:rPr>
            <a:t>xls-hashimoto</a:t>
          </a:r>
        </a:p>
      </xdr:txBody>
    </xdr:sp>
    <xdr:clientData/>
  </xdr:twoCellAnchor>
  <xdr:twoCellAnchor editAs="absolute">
    <xdr:from>
      <xdr:col>5</xdr:col>
      <xdr:colOff>257175</xdr:colOff>
      <xdr:row>66</xdr:row>
      <xdr:rowOff>104775</xdr:rowOff>
    </xdr:from>
    <xdr:to>
      <xdr:col>21</xdr:col>
      <xdr:colOff>180975</xdr:colOff>
      <xdr:row>114</xdr:row>
      <xdr:rowOff>114300</xdr:rowOff>
    </xdr:to>
    <xdr:grpSp>
      <xdr:nvGrpSpPr>
        <xdr:cNvPr id="2" name="Group 262"/>
        <xdr:cNvGrpSpPr>
          <a:grpSpLocks/>
        </xdr:cNvGrpSpPr>
      </xdr:nvGrpSpPr>
      <xdr:grpSpPr>
        <a:xfrm>
          <a:off x="1685925" y="11991975"/>
          <a:ext cx="4495800" cy="5953125"/>
          <a:chOff x="338" y="60"/>
          <a:chExt cx="650" cy="861"/>
        </a:xfrm>
        <a:solidFill>
          <a:srgbClr val="FFFFFF"/>
        </a:solidFill>
      </xdr:grpSpPr>
      <xdr:sp>
        <xdr:nvSpPr>
          <xdr:cNvPr id="3" name="Rectangle 263"/>
          <xdr:cNvSpPr>
            <a:spLocks/>
          </xdr:cNvSpPr>
        </xdr:nvSpPr>
        <xdr:spPr>
          <a:xfrm>
            <a:off x="520" y="187"/>
            <a:ext cx="14" cy="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264"/>
          <xdr:cNvSpPr>
            <a:spLocks/>
          </xdr:cNvSpPr>
        </xdr:nvSpPr>
        <xdr:spPr>
          <a:xfrm>
            <a:off x="605" y="298"/>
            <a:ext cx="17" cy="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265"/>
          <xdr:cNvSpPr>
            <a:spLocks/>
          </xdr:cNvSpPr>
        </xdr:nvSpPr>
        <xdr:spPr>
          <a:xfrm>
            <a:off x="645" y="97"/>
            <a:ext cx="29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66"/>
          <xdr:cNvSpPr>
            <a:spLocks/>
          </xdr:cNvSpPr>
        </xdr:nvSpPr>
        <xdr:spPr>
          <a:xfrm>
            <a:off x="721" y="97"/>
            <a:ext cx="31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7"/>
          <xdr:cNvSpPr>
            <a:spLocks/>
          </xdr:cNvSpPr>
        </xdr:nvSpPr>
        <xdr:spPr>
          <a:xfrm>
            <a:off x="494" y="131"/>
            <a:ext cx="22" cy="29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68"/>
          <xdr:cNvSpPr>
            <a:spLocks/>
          </xdr:cNvSpPr>
        </xdr:nvSpPr>
        <xdr:spPr>
          <a:xfrm>
            <a:off x="539" y="70"/>
            <a:ext cx="17" cy="23"/>
          </a:xfrm>
          <a:prstGeom prst="flowChartOffpage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269"/>
          <xdr:cNvSpPr txBox="1">
            <a:spLocks noChangeArrowheads="1"/>
          </xdr:cNvSpPr>
        </xdr:nvSpPr>
        <xdr:spPr>
          <a:xfrm>
            <a:off x="539" y="255"/>
            <a:ext cx="2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畳</a:t>
            </a:r>
          </a:p>
        </xdr:txBody>
      </xdr:sp>
      <xdr:sp>
        <xdr:nvSpPr>
          <xdr:cNvPr id="10" name="TextBox 270"/>
          <xdr:cNvSpPr txBox="1">
            <a:spLocks noChangeArrowheads="1"/>
          </xdr:cNvSpPr>
        </xdr:nvSpPr>
        <xdr:spPr>
          <a:xfrm>
            <a:off x="611" y="77"/>
            <a:ext cx="22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階段</a:t>
            </a:r>
          </a:p>
        </xdr:txBody>
      </xdr:sp>
      <xdr:sp>
        <xdr:nvSpPr>
          <xdr:cNvPr id="11" name="Line 271"/>
          <xdr:cNvSpPr>
            <a:spLocks/>
          </xdr:cNvSpPr>
        </xdr:nvSpPr>
        <xdr:spPr>
          <a:xfrm flipV="1">
            <a:off x="376" y="128"/>
            <a:ext cx="15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72"/>
          <xdr:cNvSpPr>
            <a:spLocks/>
          </xdr:cNvSpPr>
        </xdr:nvSpPr>
        <xdr:spPr>
          <a:xfrm flipV="1">
            <a:off x="528" y="60"/>
            <a:ext cx="114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73"/>
          <xdr:cNvSpPr>
            <a:spLocks/>
          </xdr:cNvSpPr>
        </xdr:nvSpPr>
        <xdr:spPr>
          <a:xfrm flipV="1">
            <a:off x="642" y="93"/>
            <a:ext cx="114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74"/>
          <xdr:cNvSpPr>
            <a:spLocks/>
          </xdr:cNvSpPr>
        </xdr:nvSpPr>
        <xdr:spPr>
          <a:xfrm flipV="1">
            <a:off x="642" y="196"/>
            <a:ext cx="3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75"/>
          <xdr:cNvSpPr>
            <a:spLocks/>
          </xdr:cNvSpPr>
        </xdr:nvSpPr>
        <xdr:spPr>
          <a:xfrm flipV="1">
            <a:off x="718" y="196"/>
            <a:ext cx="3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76"/>
          <xdr:cNvSpPr>
            <a:spLocks/>
          </xdr:cNvSpPr>
        </xdr:nvSpPr>
        <xdr:spPr>
          <a:xfrm flipV="1">
            <a:off x="566" y="128"/>
            <a:ext cx="3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77"/>
          <xdr:cNvSpPr>
            <a:spLocks/>
          </xdr:cNvSpPr>
        </xdr:nvSpPr>
        <xdr:spPr>
          <a:xfrm flipV="1">
            <a:off x="566" y="196"/>
            <a:ext cx="3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8"/>
          <xdr:cNvSpPr>
            <a:spLocks/>
          </xdr:cNvSpPr>
        </xdr:nvSpPr>
        <xdr:spPr>
          <a:xfrm flipV="1">
            <a:off x="490" y="196"/>
            <a:ext cx="2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79"/>
          <xdr:cNvSpPr>
            <a:spLocks/>
          </xdr:cNvSpPr>
        </xdr:nvSpPr>
        <xdr:spPr>
          <a:xfrm flipV="1">
            <a:off x="376" y="332"/>
            <a:ext cx="2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80"/>
          <xdr:cNvSpPr>
            <a:spLocks/>
          </xdr:cNvSpPr>
        </xdr:nvSpPr>
        <xdr:spPr>
          <a:xfrm flipV="1">
            <a:off x="376" y="366"/>
            <a:ext cx="2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81"/>
          <xdr:cNvSpPr>
            <a:spLocks/>
          </xdr:cNvSpPr>
        </xdr:nvSpPr>
        <xdr:spPr>
          <a:xfrm>
            <a:off x="376" y="128"/>
            <a:ext cx="0" cy="23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82"/>
          <xdr:cNvSpPr>
            <a:spLocks/>
          </xdr:cNvSpPr>
        </xdr:nvSpPr>
        <xdr:spPr>
          <a:xfrm>
            <a:off x="490" y="128"/>
            <a:ext cx="0" cy="3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83"/>
          <xdr:cNvSpPr>
            <a:spLocks/>
          </xdr:cNvSpPr>
        </xdr:nvSpPr>
        <xdr:spPr>
          <a:xfrm>
            <a:off x="490" y="196"/>
            <a:ext cx="0" cy="136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84"/>
          <xdr:cNvSpPr>
            <a:spLocks/>
          </xdr:cNvSpPr>
        </xdr:nvSpPr>
        <xdr:spPr>
          <a:xfrm>
            <a:off x="604" y="264"/>
            <a:ext cx="0" cy="136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85"/>
          <xdr:cNvSpPr>
            <a:spLocks/>
          </xdr:cNvSpPr>
        </xdr:nvSpPr>
        <xdr:spPr>
          <a:xfrm flipV="1">
            <a:off x="604" y="400"/>
            <a:ext cx="15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86"/>
          <xdr:cNvSpPr>
            <a:spLocks/>
          </xdr:cNvSpPr>
        </xdr:nvSpPr>
        <xdr:spPr>
          <a:xfrm>
            <a:off x="756" y="94"/>
            <a:ext cx="0" cy="306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87"/>
          <xdr:cNvSpPr>
            <a:spLocks/>
          </xdr:cNvSpPr>
        </xdr:nvSpPr>
        <xdr:spPr>
          <a:xfrm>
            <a:off x="642" y="60"/>
            <a:ext cx="0" cy="136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8"/>
          <xdr:cNvSpPr>
            <a:spLocks/>
          </xdr:cNvSpPr>
        </xdr:nvSpPr>
        <xdr:spPr>
          <a:xfrm>
            <a:off x="528" y="60"/>
            <a:ext cx="0" cy="6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89"/>
          <xdr:cNvSpPr>
            <a:spLocks/>
          </xdr:cNvSpPr>
        </xdr:nvSpPr>
        <xdr:spPr>
          <a:xfrm>
            <a:off x="566" y="60"/>
            <a:ext cx="0" cy="6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90"/>
          <xdr:cNvSpPr>
            <a:spLocks/>
          </xdr:cNvSpPr>
        </xdr:nvSpPr>
        <xdr:spPr>
          <a:xfrm>
            <a:off x="604" y="94"/>
            <a:ext cx="0" cy="3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291"/>
          <xdr:cNvSpPr>
            <a:spLocks/>
          </xdr:cNvSpPr>
        </xdr:nvSpPr>
        <xdr:spPr>
          <a:xfrm flipV="1">
            <a:off x="376" y="162"/>
            <a:ext cx="11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292"/>
          <xdr:cNvSpPr>
            <a:spLocks/>
          </xdr:cNvSpPr>
        </xdr:nvSpPr>
        <xdr:spPr>
          <a:xfrm flipV="1">
            <a:off x="604" y="128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293"/>
          <xdr:cNvSpPr>
            <a:spLocks/>
          </xdr:cNvSpPr>
        </xdr:nvSpPr>
        <xdr:spPr>
          <a:xfrm flipV="1">
            <a:off x="566" y="94"/>
            <a:ext cx="7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94"/>
          <xdr:cNvSpPr>
            <a:spLocks/>
          </xdr:cNvSpPr>
        </xdr:nvSpPr>
        <xdr:spPr>
          <a:xfrm flipV="1">
            <a:off x="535" y="196"/>
            <a:ext cx="3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295"/>
          <xdr:cNvSpPr>
            <a:spLocks/>
          </xdr:cNvSpPr>
        </xdr:nvSpPr>
        <xdr:spPr>
          <a:xfrm flipV="1">
            <a:off x="528" y="203"/>
            <a:ext cx="0" cy="6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296"/>
          <xdr:cNvSpPr>
            <a:spLocks/>
          </xdr:cNvSpPr>
        </xdr:nvSpPr>
        <xdr:spPr>
          <a:xfrm flipV="1">
            <a:off x="490" y="264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297"/>
          <xdr:cNvSpPr>
            <a:spLocks/>
          </xdr:cNvSpPr>
        </xdr:nvSpPr>
        <xdr:spPr>
          <a:xfrm flipV="1">
            <a:off x="604" y="196"/>
            <a:ext cx="0" cy="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298"/>
          <xdr:cNvSpPr>
            <a:spLocks/>
          </xdr:cNvSpPr>
        </xdr:nvSpPr>
        <xdr:spPr>
          <a:xfrm flipV="1">
            <a:off x="604" y="196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99"/>
          <xdr:cNvSpPr>
            <a:spLocks/>
          </xdr:cNvSpPr>
        </xdr:nvSpPr>
        <xdr:spPr>
          <a:xfrm flipV="1">
            <a:off x="680" y="196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300"/>
          <xdr:cNvSpPr>
            <a:spLocks/>
          </xdr:cNvSpPr>
        </xdr:nvSpPr>
        <xdr:spPr>
          <a:xfrm flipV="1">
            <a:off x="528" y="128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301"/>
          <xdr:cNvSpPr>
            <a:spLocks/>
          </xdr:cNvSpPr>
        </xdr:nvSpPr>
        <xdr:spPr>
          <a:xfrm flipH="1">
            <a:off x="426" y="904"/>
            <a:ext cx="39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Box 302"/>
          <xdr:cNvSpPr txBox="1">
            <a:spLocks noChangeArrowheads="1"/>
          </xdr:cNvSpPr>
        </xdr:nvSpPr>
        <xdr:spPr>
          <a:xfrm>
            <a:off x="338" y="896"/>
            <a:ext cx="8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西側側溝へ</a:t>
            </a:r>
          </a:p>
        </xdr:txBody>
      </xdr:sp>
      <xdr:sp>
        <xdr:nvSpPr>
          <xdr:cNvPr id="43" name="Rectangle 303"/>
          <xdr:cNvSpPr>
            <a:spLocks/>
          </xdr:cNvSpPr>
        </xdr:nvSpPr>
        <xdr:spPr>
          <a:xfrm>
            <a:off x="519" y="595"/>
            <a:ext cx="14" cy="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Rectangle 304"/>
          <xdr:cNvSpPr>
            <a:spLocks/>
          </xdr:cNvSpPr>
        </xdr:nvSpPr>
        <xdr:spPr>
          <a:xfrm>
            <a:off x="569" y="688"/>
            <a:ext cx="31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Rectangle 305"/>
          <xdr:cNvSpPr>
            <a:spLocks/>
          </xdr:cNvSpPr>
        </xdr:nvSpPr>
        <xdr:spPr>
          <a:xfrm>
            <a:off x="490" y="570"/>
            <a:ext cx="3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Rectangle 306"/>
          <xdr:cNvSpPr>
            <a:spLocks/>
          </xdr:cNvSpPr>
        </xdr:nvSpPr>
        <xdr:spPr>
          <a:xfrm>
            <a:off x="642" y="574"/>
            <a:ext cx="111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Rectangle 307"/>
          <xdr:cNvSpPr>
            <a:spLocks/>
          </xdr:cNvSpPr>
        </xdr:nvSpPr>
        <xdr:spPr>
          <a:xfrm>
            <a:off x="643" y="605"/>
            <a:ext cx="54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Rectangle 308"/>
          <xdr:cNvSpPr>
            <a:spLocks/>
          </xdr:cNvSpPr>
        </xdr:nvSpPr>
        <xdr:spPr>
          <a:xfrm>
            <a:off x="553" y="707"/>
            <a:ext cx="13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309"/>
          <xdr:cNvSpPr>
            <a:spLocks/>
          </xdr:cNvSpPr>
        </xdr:nvSpPr>
        <xdr:spPr>
          <a:xfrm>
            <a:off x="569" y="709"/>
            <a:ext cx="18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Rectangle 310"/>
          <xdr:cNvSpPr>
            <a:spLocks/>
          </xdr:cNvSpPr>
        </xdr:nvSpPr>
        <xdr:spPr>
          <a:xfrm>
            <a:off x="382" y="508"/>
            <a:ext cx="28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Rectangle 311"/>
          <xdr:cNvSpPr>
            <a:spLocks/>
          </xdr:cNvSpPr>
        </xdr:nvSpPr>
        <xdr:spPr>
          <a:xfrm>
            <a:off x="457" y="508"/>
            <a:ext cx="2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312"/>
          <xdr:cNvSpPr>
            <a:spLocks/>
          </xdr:cNvSpPr>
        </xdr:nvSpPr>
        <xdr:spPr>
          <a:xfrm rot="5400000">
            <a:off x="495" y="503"/>
            <a:ext cx="22" cy="29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313"/>
          <xdr:cNvSpPr>
            <a:spLocks/>
          </xdr:cNvSpPr>
        </xdr:nvSpPr>
        <xdr:spPr>
          <a:xfrm>
            <a:off x="538" y="474"/>
            <a:ext cx="17" cy="23"/>
          </a:xfrm>
          <a:prstGeom prst="flowChartOffpage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Rectangle 314"/>
          <xdr:cNvSpPr>
            <a:spLocks/>
          </xdr:cNvSpPr>
        </xdr:nvSpPr>
        <xdr:spPr>
          <a:xfrm>
            <a:off x="647" y="579"/>
            <a:ext cx="3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Rectangle 315"/>
          <xdr:cNvSpPr>
            <a:spLocks/>
          </xdr:cNvSpPr>
        </xdr:nvSpPr>
        <xdr:spPr>
          <a:xfrm>
            <a:off x="720" y="578"/>
            <a:ext cx="30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Rectangle 316"/>
          <xdr:cNvSpPr>
            <a:spLocks/>
          </xdr:cNvSpPr>
        </xdr:nvSpPr>
        <xdr:spPr>
          <a:xfrm>
            <a:off x="688" y="531"/>
            <a:ext cx="2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Rectangle 317"/>
          <xdr:cNvSpPr>
            <a:spLocks/>
          </xdr:cNvSpPr>
        </xdr:nvSpPr>
        <xdr:spPr>
          <a:xfrm>
            <a:off x="798" y="608"/>
            <a:ext cx="51" cy="1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318"/>
          <xdr:cNvSpPr>
            <a:spLocks/>
          </xdr:cNvSpPr>
        </xdr:nvSpPr>
        <xdr:spPr>
          <a:xfrm flipH="1">
            <a:off x="766" y="454"/>
            <a:ext cx="139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319"/>
          <xdr:cNvSpPr>
            <a:spLocks/>
          </xdr:cNvSpPr>
        </xdr:nvSpPr>
        <xdr:spPr>
          <a:xfrm>
            <a:off x="766" y="454"/>
            <a:ext cx="0" cy="83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320"/>
          <xdr:cNvSpPr>
            <a:spLocks/>
          </xdr:cNvSpPr>
        </xdr:nvSpPr>
        <xdr:spPr>
          <a:xfrm flipH="1">
            <a:off x="755" y="537"/>
            <a:ext cx="1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321"/>
          <xdr:cNvSpPr>
            <a:spLocks/>
          </xdr:cNvSpPr>
        </xdr:nvSpPr>
        <xdr:spPr>
          <a:xfrm>
            <a:off x="762" y="508"/>
            <a:ext cx="8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AutoShape 322"/>
          <xdr:cNvSpPr>
            <a:spLocks/>
          </xdr:cNvSpPr>
        </xdr:nvSpPr>
        <xdr:spPr>
          <a:xfrm>
            <a:off x="844" y="446"/>
            <a:ext cx="16" cy="16"/>
          </a:xfrm>
          <a:prstGeom prst="noSmoking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323"/>
          <xdr:cNvSpPr>
            <a:spLocks/>
          </xdr:cNvSpPr>
        </xdr:nvSpPr>
        <xdr:spPr>
          <a:xfrm>
            <a:off x="471" y="459"/>
            <a:ext cx="35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324"/>
          <xdr:cNvSpPr>
            <a:spLocks/>
          </xdr:cNvSpPr>
        </xdr:nvSpPr>
        <xdr:spPr>
          <a:xfrm flipV="1">
            <a:off x="471" y="459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325"/>
          <xdr:cNvSpPr>
            <a:spLocks/>
          </xdr:cNvSpPr>
        </xdr:nvSpPr>
        <xdr:spPr>
          <a:xfrm flipV="1">
            <a:off x="546" y="459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326"/>
          <xdr:cNvSpPr>
            <a:spLocks/>
          </xdr:cNvSpPr>
        </xdr:nvSpPr>
        <xdr:spPr>
          <a:xfrm flipV="1">
            <a:off x="665" y="459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327"/>
          <xdr:cNvSpPr>
            <a:spLocks/>
          </xdr:cNvSpPr>
        </xdr:nvSpPr>
        <xdr:spPr>
          <a:xfrm>
            <a:off x="821" y="459"/>
            <a:ext cx="0" cy="14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328"/>
          <xdr:cNvSpPr>
            <a:spLocks/>
          </xdr:cNvSpPr>
        </xdr:nvSpPr>
        <xdr:spPr>
          <a:xfrm>
            <a:off x="821" y="723"/>
            <a:ext cx="0" cy="18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Rectangle 329"/>
          <xdr:cNvSpPr>
            <a:spLocks/>
          </xdr:cNvSpPr>
        </xdr:nvSpPr>
        <xdr:spPr>
          <a:xfrm>
            <a:off x="760" y="773"/>
            <a:ext cx="1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330"/>
          <xdr:cNvSpPr>
            <a:spLocks/>
          </xdr:cNvSpPr>
        </xdr:nvSpPr>
        <xdr:spPr>
          <a:xfrm>
            <a:off x="768" y="786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TextBox 331"/>
          <xdr:cNvSpPr txBox="1">
            <a:spLocks noChangeArrowheads="1"/>
          </xdr:cNvSpPr>
        </xdr:nvSpPr>
        <xdr:spPr>
          <a:xfrm>
            <a:off x="886" y="776"/>
            <a:ext cx="102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塀脇の側溝へ</a:t>
            </a:r>
          </a:p>
        </xdr:txBody>
      </xdr:sp>
      <xdr:sp>
        <xdr:nvSpPr>
          <xdr:cNvPr id="72" name="TextBox 332"/>
          <xdr:cNvSpPr txBox="1">
            <a:spLocks noChangeArrowheads="1"/>
          </xdr:cNvSpPr>
        </xdr:nvSpPr>
        <xdr:spPr>
          <a:xfrm>
            <a:off x="810" y="614"/>
            <a:ext cx="26" cy="1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合併浄化槽</a:t>
            </a:r>
          </a:p>
        </xdr:txBody>
      </xdr:sp>
      <xdr:sp>
        <xdr:nvSpPr>
          <xdr:cNvPr id="73" name="Rectangle 333"/>
          <xdr:cNvSpPr>
            <a:spLocks/>
          </xdr:cNvSpPr>
        </xdr:nvSpPr>
        <xdr:spPr>
          <a:xfrm>
            <a:off x="587" y="709"/>
            <a:ext cx="83" cy="9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TextBox 334"/>
          <xdr:cNvSpPr txBox="1">
            <a:spLocks noChangeArrowheads="1"/>
          </xdr:cNvSpPr>
        </xdr:nvSpPr>
        <xdr:spPr>
          <a:xfrm>
            <a:off x="613" y="747"/>
            <a:ext cx="2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畳</a:t>
            </a:r>
          </a:p>
        </xdr:txBody>
      </xdr:sp>
      <xdr:sp>
        <xdr:nvSpPr>
          <xdr:cNvPr id="75" name="TextBox 335"/>
          <xdr:cNvSpPr txBox="1">
            <a:spLocks noChangeArrowheads="1"/>
          </xdr:cNvSpPr>
        </xdr:nvSpPr>
        <xdr:spPr>
          <a:xfrm>
            <a:off x="420" y="672"/>
            <a:ext cx="2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畳</a:t>
            </a:r>
          </a:p>
        </xdr:txBody>
      </xdr:sp>
      <xdr:sp>
        <xdr:nvSpPr>
          <xdr:cNvPr id="76" name="Line 336"/>
          <xdr:cNvSpPr>
            <a:spLocks/>
          </xdr:cNvSpPr>
        </xdr:nvSpPr>
        <xdr:spPr>
          <a:xfrm flipV="1">
            <a:off x="505" y="460"/>
            <a:ext cx="0" cy="4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TextBox 337"/>
          <xdr:cNvSpPr txBox="1">
            <a:spLocks noChangeArrowheads="1"/>
          </xdr:cNvSpPr>
        </xdr:nvSpPr>
        <xdr:spPr>
          <a:xfrm>
            <a:off x="575" y="493"/>
            <a:ext cx="22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階段</a:t>
            </a:r>
          </a:p>
        </xdr:txBody>
      </xdr:sp>
      <xdr:sp>
        <xdr:nvSpPr>
          <xdr:cNvPr id="78" name="Line 338"/>
          <xdr:cNvSpPr>
            <a:spLocks/>
          </xdr:cNvSpPr>
        </xdr:nvSpPr>
        <xdr:spPr>
          <a:xfrm>
            <a:off x="434" y="57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339"/>
          <xdr:cNvSpPr>
            <a:spLocks/>
          </xdr:cNvSpPr>
        </xdr:nvSpPr>
        <xdr:spPr>
          <a:xfrm>
            <a:off x="376" y="502"/>
            <a:ext cx="15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340"/>
          <xdr:cNvSpPr>
            <a:spLocks/>
          </xdr:cNvSpPr>
        </xdr:nvSpPr>
        <xdr:spPr>
          <a:xfrm>
            <a:off x="528" y="468"/>
            <a:ext cx="11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341"/>
          <xdr:cNvSpPr>
            <a:spLocks/>
          </xdr:cNvSpPr>
        </xdr:nvSpPr>
        <xdr:spPr>
          <a:xfrm>
            <a:off x="642" y="503"/>
            <a:ext cx="11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342"/>
          <xdr:cNvSpPr>
            <a:spLocks/>
          </xdr:cNvSpPr>
        </xdr:nvSpPr>
        <xdr:spPr>
          <a:xfrm>
            <a:off x="642" y="468"/>
            <a:ext cx="0" cy="3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343"/>
          <xdr:cNvSpPr>
            <a:spLocks/>
          </xdr:cNvSpPr>
        </xdr:nvSpPr>
        <xdr:spPr>
          <a:xfrm>
            <a:off x="604" y="468"/>
            <a:ext cx="0" cy="136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344"/>
          <xdr:cNvSpPr>
            <a:spLocks/>
          </xdr:cNvSpPr>
        </xdr:nvSpPr>
        <xdr:spPr>
          <a:xfrm>
            <a:off x="565" y="467"/>
            <a:ext cx="1" cy="6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345"/>
          <xdr:cNvSpPr>
            <a:spLocks/>
          </xdr:cNvSpPr>
        </xdr:nvSpPr>
        <xdr:spPr>
          <a:xfrm>
            <a:off x="528" y="468"/>
            <a:ext cx="1" cy="6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346"/>
          <xdr:cNvSpPr>
            <a:spLocks/>
          </xdr:cNvSpPr>
        </xdr:nvSpPr>
        <xdr:spPr>
          <a:xfrm>
            <a:off x="452" y="501"/>
            <a:ext cx="0" cy="3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347"/>
          <xdr:cNvSpPr>
            <a:spLocks/>
          </xdr:cNvSpPr>
        </xdr:nvSpPr>
        <xdr:spPr>
          <a:xfrm>
            <a:off x="756" y="502"/>
            <a:ext cx="0" cy="30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348"/>
          <xdr:cNvSpPr>
            <a:spLocks/>
          </xdr:cNvSpPr>
        </xdr:nvSpPr>
        <xdr:spPr>
          <a:xfrm flipH="1">
            <a:off x="376" y="502"/>
            <a:ext cx="1" cy="26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349"/>
          <xdr:cNvSpPr>
            <a:spLocks/>
          </xdr:cNvSpPr>
        </xdr:nvSpPr>
        <xdr:spPr>
          <a:xfrm flipH="1">
            <a:off x="490" y="570"/>
            <a:ext cx="1" cy="3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350"/>
          <xdr:cNvSpPr>
            <a:spLocks/>
          </xdr:cNvSpPr>
        </xdr:nvSpPr>
        <xdr:spPr>
          <a:xfrm flipH="1">
            <a:off x="490" y="672"/>
            <a:ext cx="0" cy="9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351"/>
          <xdr:cNvSpPr>
            <a:spLocks/>
          </xdr:cNvSpPr>
        </xdr:nvSpPr>
        <xdr:spPr>
          <a:xfrm>
            <a:off x="376" y="771"/>
            <a:ext cx="19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352"/>
          <xdr:cNvSpPr>
            <a:spLocks/>
          </xdr:cNvSpPr>
        </xdr:nvSpPr>
        <xdr:spPr>
          <a:xfrm>
            <a:off x="376" y="604"/>
            <a:ext cx="11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353"/>
          <xdr:cNvSpPr>
            <a:spLocks/>
          </xdr:cNvSpPr>
        </xdr:nvSpPr>
        <xdr:spPr>
          <a:xfrm>
            <a:off x="376" y="570"/>
            <a:ext cx="11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354"/>
          <xdr:cNvSpPr>
            <a:spLocks/>
          </xdr:cNvSpPr>
        </xdr:nvSpPr>
        <xdr:spPr>
          <a:xfrm>
            <a:off x="490" y="705"/>
            <a:ext cx="11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355"/>
          <xdr:cNvSpPr>
            <a:spLocks/>
          </xdr:cNvSpPr>
        </xdr:nvSpPr>
        <xdr:spPr>
          <a:xfrm flipH="1">
            <a:off x="604" y="672"/>
            <a:ext cx="0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356"/>
          <xdr:cNvSpPr>
            <a:spLocks/>
          </xdr:cNvSpPr>
        </xdr:nvSpPr>
        <xdr:spPr>
          <a:xfrm flipH="1">
            <a:off x="566" y="705"/>
            <a:ext cx="0" cy="9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357"/>
          <xdr:cNvSpPr>
            <a:spLocks/>
          </xdr:cNvSpPr>
        </xdr:nvSpPr>
        <xdr:spPr>
          <a:xfrm>
            <a:off x="566" y="804"/>
            <a:ext cx="19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358"/>
          <xdr:cNvSpPr>
            <a:spLocks/>
          </xdr:cNvSpPr>
        </xdr:nvSpPr>
        <xdr:spPr>
          <a:xfrm>
            <a:off x="604" y="604"/>
            <a:ext cx="15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359"/>
          <xdr:cNvSpPr>
            <a:spLocks/>
          </xdr:cNvSpPr>
        </xdr:nvSpPr>
        <xdr:spPr>
          <a:xfrm>
            <a:off x="604" y="502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360"/>
          <xdr:cNvSpPr>
            <a:spLocks/>
          </xdr:cNvSpPr>
        </xdr:nvSpPr>
        <xdr:spPr>
          <a:xfrm>
            <a:off x="528" y="536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361"/>
          <xdr:cNvSpPr>
            <a:spLocks/>
          </xdr:cNvSpPr>
        </xdr:nvSpPr>
        <xdr:spPr>
          <a:xfrm>
            <a:off x="490" y="605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362"/>
          <xdr:cNvSpPr>
            <a:spLocks/>
          </xdr:cNvSpPr>
        </xdr:nvSpPr>
        <xdr:spPr>
          <a:xfrm flipV="1">
            <a:off x="566" y="536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363"/>
          <xdr:cNvSpPr>
            <a:spLocks/>
          </xdr:cNvSpPr>
        </xdr:nvSpPr>
        <xdr:spPr>
          <a:xfrm>
            <a:off x="566" y="570"/>
            <a:ext cx="3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364"/>
          <xdr:cNvSpPr>
            <a:spLocks/>
          </xdr:cNvSpPr>
        </xdr:nvSpPr>
        <xdr:spPr>
          <a:xfrm flipV="1">
            <a:off x="528" y="536"/>
            <a:ext cx="0" cy="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365"/>
          <xdr:cNvSpPr>
            <a:spLocks/>
          </xdr:cNvSpPr>
        </xdr:nvSpPr>
        <xdr:spPr>
          <a:xfrm flipV="1">
            <a:off x="452" y="536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366"/>
          <xdr:cNvSpPr>
            <a:spLocks/>
          </xdr:cNvSpPr>
        </xdr:nvSpPr>
        <xdr:spPr>
          <a:xfrm flipV="1">
            <a:off x="490" y="604"/>
            <a:ext cx="0" cy="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12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07" name="Chart 367"/>
        <xdr:cNvGraphicFramePr/>
      </xdr:nvGraphicFramePr>
      <xdr:xfrm>
        <a:off x="857250" y="2066925"/>
        <a:ext cx="2286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33</xdr:row>
      <xdr:rowOff>0</xdr:rowOff>
    </xdr:from>
    <xdr:to>
      <xdr:col>11</xdr:col>
      <xdr:colOff>0</xdr:colOff>
      <xdr:row>46</xdr:row>
      <xdr:rowOff>0</xdr:rowOff>
    </xdr:to>
    <xdr:graphicFrame>
      <xdr:nvGraphicFramePr>
        <xdr:cNvPr id="108" name="Chart 368"/>
        <xdr:cNvGraphicFramePr/>
      </xdr:nvGraphicFramePr>
      <xdr:xfrm>
        <a:off x="857250" y="6067425"/>
        <a:ext cx="2286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18</xdr:col>
      <xdr:colOff>0</xdr:colOff>
      <xdr:row>25</xdr:row>
      <xdr:rowOff>0</xdr:rowOff>
    </xdr:to>
    <xdr:graphicFrame>
      <xdr:nvGraphicFramePr>
        <xdr:cNvPr id="109" name="Chart 369"/>
        <xdr:cNvGraphicFramePr/>
      </xdr:nvGraphicFramePr>
      <xdr:xfrm>
        <a:off x="2857500" y="2066925"/>
        <a:ext cx="2286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25</xdr:col>
      <xdr:colOff>0</xdr:colOff>
      <xdr:row>25</xdr:row>
      <xdr:rowOff>0</xdr:rowOff>
    </xdr:to>
    <xdr:graphicFrame>
      <xdr:nvGraphicFramePr>
        <xdr:cNvPr id="110" name="Chart 370"/>
        <xdr:cNvGraphicFramePr/>
      </xdr:nvGraphicFramePr>
      <xdr:xfrm>
        <a:off x="4857750" y="2066925"/>
        <a:ext cx="2286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0</xdr:colOff>
      <xdr:row>46</xdr:row>
      <xdr:rowOff>0</xdr:rowOff>
    </xdr:to>
    <xdr:graphicFrame>
      <xdr:nvGraphicFramePr>
        <xdr:cNvPr id="111" name="Chart 371"/>
        <xdr:cNvGraphicFramePr/>
      </xdr:nvGraphicFramePr>
      <xdr:xfrm>
        <a:off x="2857500" y="6067425"/>
        <a:ext cx="2286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25</xdr:col>
      <xdr:colOff>0</xdr:colOff>
      <xdr:row>46</xdr:row>
      <xdr:rowOff>0</xdr:rowOff>
    </xdr:to>
    <xdr:graphicFrame>
      <xdr:nvGraphicFramePr>
        <xdr:cNvPr id="112" name="Chart 372"/>
        <xdr:cNvGraphicFramePr/>
      </xdr:nvGraphicFramePr>
      <xdr:xfrm>
        <a:off x="4857750" y="6067425"/>
        <a:ext cx="2286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24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0" y="1495425"/>
          <a:ext cx="2857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/>
        <a:p>
          <a:pPr algn="r">
            <a:defRPr/>
          </a:pPr>
          <a:r>
            <a:rPr lang="en-US" cap="none" sz="800" b="0" i="1" u="none" baseline="0"/>
            <a:t>powered by </a:t>
          </a:r>
          <a:r>
            <a:rPr lang="en-US" cap="none" sz="800" b="1" i="1" u="none" baseline="0">
              <a:solidFill>
                <a:srgbClr val="0000FF"/>
              </a:solidFill>
            </a:rPr>
            <a:t>xls-hashimoto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24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571500" y="1876425"/>
        <a:ext cx="6286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24</xdr:col>
      <xdr:colOff>0</xdr:colOff>
      <xdr:row>50</xdr:row>
      <xdr:rowOff>0</xdr:rowOff>
    </xdr:to>
    <xdr:graphicFrame>
      <xdr:nvGraphicFramePr>
        <xdr:cNvPr id="3" name="Chart 9"/>
        <xdr:cNvGraphicFramePr/>
      </xdr:nvGraphicFramePr>
      <xdr:xfrm>
        <a:off x="571500" y="5876925"/>
        <a:ext cx="62865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57</xdr:row>
      <xdr:rowOff>104775</xdr:rowOff>
    </xdr:from>
    <xdr:to>
      <xdr:col>3</xdr:col>
      <xdr:colOff>0</xdr:colOff>
      <xdr:row>57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285750" y="10744200"/>
          <a:ext cx="571500" cy="0"/>
        </a:xfrm>
        <a:prstGeom prst="line">
          <a:avLst/>
        </a:prstGeom>
        <a:noFill/>
        <a:ln w="190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95250</xdr:rowOff>
    </xdr:from>
    <xdr:to>
      <xdr:col>3</xdr:col>
      <xdr:colOff>0</xdr:colOff>
      <xdr:row>58</xdr:row>
      <xdr:rowOff>95250</xdr:rowOff>
    </xdr:to>
    <xdr:sp>
      <xdr:nvSpPr>
        <xdr:cNvPr id="5" name="Line 12"/>
        <xdr:cNvSpPr>
          <a:spLocks/>
        </xdr:cNvSpPr>
      </xdr:nvSpPr>
      <xdr:spPr>
        <a:xfrm>
          <a:off x="285750" y="10925175"/>
          <a:ext cx="571500" cy="0"/>
        </a:xfrm>
        <a:prstGeom prst="line">
          <a:avLst/>
        </a:prstGeom>
        <a:noFill/>
        <a:ln w="19050" cmpd="sng">
          <a:solidFill>
            <a:srgbClr val="9933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42</xdr:row>
      <xdr:rowOff>66675</xdr:rowOff>
    </xdr:from>
    <xdr:to>
      <xdr:col>9</xdr:col>
      <xdr:colOff>190500</xdr:colOff>
      <xdr:row>43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1800225" y="7848600"/>
          <a:ext cx="962025" cy="228600"/>
        </a:xfrm>
        <a:prstGeom prst="wedgeRoundRectCallout">
          <a:avLst>
            <a:gd name="adj1" fmla="val -93564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I-131 8.02070d</a:t>
          </a:r>
        </a:p>
      </xdr:txBody>
    </xdr:sp>
    <xdr:clientData/>
  </xdr:twoCellAnchor>
  <xdr:twoCellAnchor>
    <xdr:from>
      <xdr:col>17</xdr:col>
      <xdr:colOff>180975</xdr:colOff>
      <xdr:row>35</xdr:row>
      <xdr:rowOff>104775</xdr:rowOff>
    </xdr:from>
    <xdr:to>
      <xdr:col>23</xdr:col>
      <xdr:colOff>95250</xdr:colOff>
      <xdr:row>36</xdr:row>
      <xdr:rowOff>142875</xdr:rowOff>
    </xdr:to>
    <xdr:sp>
      <xdr:nvSpPr>
        <xdr:cNvPr id="7" name="AutoShape 14"/>
        <xdr:cNvSpPr>
          <a:spLocks/>
        </xdr:cNvSpPr>
      </xdr:nvSpPr>
      <xdr:spPr>
        <a:xfrm>
          <a:off x="5038725" y="6553200"/>
          <a:ext cx="1628775" cy="228600"/>
        </a:xfrm>
        <a:prstGeom prst="wedgeRoundRectCallout">
          <a:avLst>
            <a:gd name="adj1" fmla="val -51171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Cs-137 30.167y(11,019d)</a:t>
          </a:r>
        </a:p>
      </xdr:txBody>
    </xdr:sp>
    <xdr:clientData/>
  </xdr:twoCellAnchor>
  <xdr:twoCellAnchor>
    <xdr:from>
      <xdr:col>6</xdr:col>
      <xdr:colOff>85725</xdr:colOff>
      <xdr:row>21</xdr:row>
      <xdr:rowOff>76200</xdr:rowOff>
    </xdr:from>
    <xdr:to>
      <xdr:col>9</xdr:col>
      <xdr:colOff>190500</xdr:colOff>
      <xdr:row>22</xdr:row>
      <xdr:rowOff>114300</xdr:rowOff>
    </xdr:to>
    <xdr:sp>
      <xdr:nvSpPr>
        <xdr:cNvPr id="8" name="AutoShape 17"/>
        <xdr:cNvSpPr>
          <a:spLocks/>
        </xdr:cNvSpPr>
      </xdr:nvSpPr>
      <xdr:spPr>
        <a:xfrm>
          <a:off x="1800225" y="3857625"/>
          <a:ext cx="962025" cy="228600"/>
        </a:xfrm>
        <a:prstGeom prst="wedgeRoundRectCallout">
          <a:avLst>
            <a:gd name="adj1" fmla="val -93564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I-131 8.02070d</a:t>
          </a:r>
        </a:p>
      </xdr:txBody>
    </xdr:sp>
    <xdr:clientData/>
  </xdr:twoCellAnchor>
  <xdr:twoCellAnchor>
    <xdr:from>
      <xdr:col>9</xdr:col>
      <xdr:colOff>76200</xdr:colOff>
      <xdr:row>14</xdr:row>
      <xdr:rowOff>114300</xdr:rowOff>
    </xdr:from>
    <xdr:to>
      <xdr:col>14</xdr:col>
      <xdr:colOff>276225</xdr:colOff>
      <xdr:row>15</xdr:row>
      <xdr:rowOff>152400</xdr:rowOff>
    </xdr:to>
    <xdr:sp>
      <xdr:nvSpPr>
        <xdr:cNvPr id="9" name="AutoShape 18"/>
        <xdr:cNvSpPr>
          <a:spLocks/>
        </xdr:cNvSpPr>
      </xdr:nvSpPr>
      <xdr:spPr>
        <a:xfrm>
          <a:off x="2647950" y="2562225"/>
          <a:ext cx="1628775" cy="228600"/>
        </a:xfrm>
        <a:prstGeom prst="wedgeRoundRectCallout">
          <a:avLst>
            <a:gd name="adj1" fmla="val 61694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Cs-137 30.167y(11,019d)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61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40" width="3.75390625" style="2" customWidth="1"/>
    <col min="41" max="16384" width="9.00390625" style="2" customWidth="1"/>
  </cols>
  <sheetData>
    <row r="1" ht="15" customHeight="1">
      <c r="E1" s="21">
        <f>COUNT('測定結果'!$4:$4)+5</f>
        <v>14</v>
      </c>
    </row>
    <row r="2" ht="4.5" customHeight="1"/>
    <row r="3" ht="9.75" customHeight="1"/>
    <row r="4" spans="1:24" ht="14.25" customHeight="1">
      <c r="A4" s="139" t="s">
        <v>38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4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5:24" ht="15" customHeight="1" thickBot="1">
      <c r="O6" s="145"/>
      <c r="P6" s="145"/>
      <c r="Q6" s="145"/>
      <c r="R6" s="145"/>
      <c r="S6" s="145"/>
      <c r="T6" s="145"/>
      <c r="U6" s="145"/>
      <c r="V6" s="145"/>
      <c r="W6" s="145"/>
      <c r="X6" s="145"/>
    </row>
    <row r="7" spans="1:24" ht="15" customHeight="1">
      <c r="A7" s="152" t="s">
        <v>10</v>
      </c>
      <c r="B7" s="142"/>
      <c r="C7" s="153" t="s">
        <v>116</v>
      </c>
      <c r="D7" s="154"/>
      <c r="E7" s="154"/>
      <c r="F7" s="154"/>
      <c r="G7" s="154"/>
      <c r="H7" s="154"/>
      <c r="I7" s="154"/>
      <c r="J7" s="154"/>
      <c r="K7" s="154"/>
      <c r="L7" s="155"/>
      <c r="M7" s="141" t="s">
        <v>3</v>
      </c>
      <c r="N7" s="142"/>
      <c r="O7" s="162" t="str">
        <f>IF(INDEX('測定結果'!$A:$XFD,4,E$1)=0,""," "&amp;TEXT(INDEX('測定結果'!$A:$XFD,4,$E$1),"平成ee年m月d日(aaa)"))</f>
        <v> 平成24年5月26日(土)</v>
      </c>
      <c r="P7" s="162"/>
      <c r="Q7" s="162"/>
      <c r="R7" s="162"/>
      <c r="S7" s="162"/>
      <c r="T7" s="162"/>
      <c r="U7" s="162"/>
      <c r="V7" s="162"/>
      <c r="W7" s="162"/>
      <c r="X7" s="163"/>
    </row>
    <row r="8" spans="1:24" ht="15" customHeight="1">
      <c r="A8" s="151" t="s">
        <v>8</v>
      </c>
      <c r="B8" s="144"/>
      <c r="C8" s="156" t="s">
        <v>34</v>
      </c>
      <c r="D8" s="157"/>
      <c r="E8" s="157"/>
      <c r="F8" s="157"/>
      <c r="G8" s="157"/>
      <c r="H8" s="157"/>
      <c r="I8" s="157"/>
      <c r="J8" s="157"/>
      <c r="K8" s="157"/>
      <c r="L8" s="158"/>
      <c r="M8" s="143" t="s">
        <v>4</v>
      </c>
      <c r="N8" s="144"/>
      <c r="O8" s="159" t="str">
        <f>IF(INDEX('測定結果'!$A:$XFD,5,E$1)=0,"",INDEX('測定結果'!$A:$XFD,5,$E$1))</f>
        <v> 11:20～11:40</v>
      </c>
      <c r="P8" s="160"/>
      <c r="Q8" s="160"/>
      <c r="R8" s="160"/>
      <c r="S8" s="160"/>
      <c r="T8" s="160"/>
      <c r="U8" s="160"/>
      <c r="V8" s="160"/>
      <c r="W8" s="160"/>
      <c r="X8" s="161"/>
    </row>
    <row r="9" spans="1:24" ht="15" customHeight="1">
      <c r="A9" s="149" t="s">
        <v>6</v>
      </c>
      <c r="B9" s="150"/>
      <c r="C9" s="146" t="s">
        <v>116</v>
      </c>
      <c r="D9" s="147"/>
      <c r="E9" s="147"/>
      <c r="F9" s="147"/>
      <c r="G9" s="147"/>
      <c r="H9" s="147"/>
      <c r="I9" s="147"/>
      <c r="J9" s="147"/>
      <c r="K9" s="147"/>
      <c r="L9" s="148"/>
      <c r="M9" s="143" t="s">
        <v>7</v>
      </c>
      <c r="N9" s="144"/>
      <c r="O9" s="159" t="str">
        <f>IF(INDEX('測定結果'!$A:$XFD,6,E$1)=0,"",INDEX('測定結果'!$A:$XFD,6,$E$1))&amp;"・ゆーみん"</f>
        <v>きなやん・ゆーみん</v>
      </c>
      <c r="P9" s="160"/>
      <c r="Q9" s="160"/>
      <c r="R9" s="160"/>
      <c r="S9" s="160"/>
      <c r="T9" s="160"/>
      <c r="U9" s="160"/>
      <c r="V9" s="160"/>
      <c r="W9" s="160"/>
      <c r="X9" s="161"/>
    </row>
    <row r="10" spans="1:24" ht="15" customHeight="1">
      <c r="A10" s="166" t="s">
        <v>5</v>
      </c>
      <c r="B10" s="167"/>
      <c r="C10" s="171" t="str">
        <f>IF(INDEX('測定結果'!$A:$XFD,2,E$1)=0,""," "&amp;INDEX('測定結果'!$A:$XFD,2,E$1))&amp;IF(INDEX('測定結果'!$A:$XFD,3,E$1)=0,"","、"&amp;INDEX('測定結果'!$A:$XFD,2,E$1))</f>
        <v> Polimaster PM-1610</v>
      </c>
      <c r="D10" s="172"/>
      <c r="E10" s="172"/>
      <c r="F10" s="172"/>
      <c r="G10" s="172"/>
      <c r="H10" s="172"/>
      <c r="I10" s="172"/>
      <c r="J10" s="172"/>
      <c r="K10" s="172"/>
      <c r="L10" s="173"/>
      <c r="M10" s="170" t="s">
        <v>9</v>
      </c>
      <c r="N10" s="150"/>
      <c r="O10" s="164" t="str">
        <f>IF(INDEX('測定結果'!$A:$XFD,7,E$1)=0,"",INDEX('測定結果'!$A:$XFD,7,$E$1))</f>
        <v>xls-hashimoto</v>
      </c>
      <c r="P10" s="147"/>
      <c r="Q10" s="147"/>
      <c r="R10" s="147"/>
      <c r="S10" s="147"/>
      <c r="T10" s="147"/>
      <c r="U10" s="147"/>
      <c r="V10" s="147"/>
      <c r="W10" s="147"/>
      <c r="X10" s="165"/>
    </row>
    <row r="11" spans="1:24" ht="15" customHeight="1" thickBot="1">
      <c r="A11" s="168"/>
      <c r="B11" s="169"/>
      <c r="C11" s="174" t="str">
        <f>" ※Polimaster PM-1610は、㈱ﾗﾄﾞ･ｿﾘｭｰｼｮﾝｽﾞ（022-342-8727）の提供協力品です。"</f>
        <v> ※Polimaster PM-1610は、㈱ﾗﾄﾞ･ｿﾘｭｰｼｮﾝｽﾞ（022-342-8727）の提供協力品です。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7"/>
    </row>
    <row r="12" spans="1:24" ht="1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" customHeight="1">
      <c r="A13" s="46" t="s">
        <v>73</v>
      </c>
      <c r="B13" s="133" t="s">
        <v>96</v>
      </c>
      <c r="C13" s="133"/>
      <c r="D13" s="22"/>
      <c r="E13" s="134" t="s">
        <v>95</v>
      </c>
      <c r="F13" s="134"/>
      <c r="G13" s="135" t="s">
        <v>105</v>
      </c>
      <c r="H13" s="135"/>
      <c r="I13" s="135"/>
      <c r="J13" s="135"/>
      <c r="K13" s="22"/>
      <c r="L13" s="134" t="s">
        <v>95</v>
      </c>
      <c r="M13" s="134"/>
      <c r="N13" s="136" t="s">
        <v>27</v>
      </c>
      <c r="O13" s="136"/>
      <c r="P13" s="136"/>
      <c r="Q13" s="136"/>
      <c r="R13" s="23"/>
      <c r="S13" s="134" t="s">
        <v>95</v>
      </c>
      <c r="T13" s="134"/>
      <c r="U13" s="178" t="s">
        <v>28</v>
      </c>
      <c r="V13" s="178"/>
      <c r="W13" s="178"/>
      <c r="X13" s="179"/>
    </row>
    <row r="14" spans="1:24" ht="15" customHeight="1">
      <c r="A14" s="71" t="s">
        <v>109</v>
      </c>
      <c r="B14" s="72"/>
      <c r="C14" s="73"/>
      <c r="D14" s="13"/>
      <c r="E14" s="27"/>
      <c r="F14" s="13"/>
      <c r="G14" s="13"/>
      <c r="H14" s="13"/>
      <c r="I14" s="13"/>
      <c r="J14" s="29"/>
      <c r="K14" s="13"/>
      <c r="L14" s="26"/>
      <c r="M14" s="24"/>
      <c r="N14" s="24"/>
      <c r="O14" s="24"/>
      <c r="P14" s="24"/>
      <c r="Q14" s="28"/>
      <c r="S14" s="26"/>
      <c r="T14" s="24"/>
      <c r="U14" s="24"/>
      <c r="V14" s="24"/>
      <c r="W14" s="24"/>
      <c r="X14" s="25"/>
    </row>
    <row r="15" spans="1:24" ht="15" customHeight="1">
      <c r="A15" s="74"/>
      <c r="B15" s="75"/>
      <c r="C15" s="76"/>
      <c r="D15" s="13"/>
      <c r="E15" s="27"/>
      <c r="F15" s="13"/>
      <c r="G15" s="13"/>
      <c r="H15" s="13"/>
      <c r="I15" s="13"/>
      <c r="J15" s="29"/>
      <c r="K15" s="13"/>
      <c r="L15" s="26"/>
      <c r="M15" s="24"/>
      <c r="N15" s="24"/>
      <c r="O15" s="24"/>
      <c r="P15" s="24"/>
      <c r="Q15" s="28"/>
      <c r="S15" s="26"/>
      <c r="T15" s="24"/>
      <c r="U15" s="24"/>
      <c r="V15" s="24"/>
      <c r="W15" s="24"/>
      <c r="X15" s="25"/>
    </row>
    <row r="16" spans="1:24" ht="15" customHeight="1">
      <c r="A16" s="74"/>
      <c r="B16" s="75"/>
      <c r="C16" s="76"/>
      <c r="D16" s="13"/>
      <c r="E16" s="27"/>
      <c r="F16" s="13"/>
      <c r="G16" s="13"/>
      <c r="H16" s="13"/>
      <c r="I16" s="13"/>
      <c r="J16" s="29"/>
      <c r="K16" s="13"/>
      <c r="L16" s="26"/>
      <c r="M16" s="24"/>
      <c r="N16" s="24"/>
      <c r="O16" s="24"/>
      <c r="P16" s="24"/>
      <c r="Q16" s="28"/>
      <c r="S16" s="26"/>
      <c r="T16" s="24"/>
      <c r="U16" s="24"/>
      <c r="V16" s="24"/>
      <c r="W16" s="24"/>
      <c r="X16" s="25"/>
    </row>
    <row r="17" spans="1:24" ht="15" customHeight="1">
      <c r="A17" s="49"/>
      <c r="B17" s="50"/>
      <c r="C17" s="69" t="s">
        <v>102</v>
      </c>
      <c r="D17" s="13"/>
      <c r="E17" s="27"/>
      <c r="F17" s="13"/>
      <c r="G17" s="13"/>
      <c r="H17" s="13"/>
      <c r="I17" s="13"/>
      <c r="J17" s="29"/>
      <c r="K17" s="13"/>
      <c r="L17" s="26"/>
      <c r="M17" s="24"/>
      <c r="N17" s="24"/>
      <c r="O17" s="24"/>
      <c r="P17" s="24"/>
      <c r="Q17" s="28"/>
      <c r="S17" s="26"/>
      <c r="T17" s="24"/>
      <c r="U17" s="24"/>
      <c r="V17" s="24"/>
      <c r="W17" s="24"/>
      <c r="X17" s="25"/>
    </row>
    <row r="18" spans="1:24" ht="15" customHeight="1">
      <c r="A18" s="49"/>
      <c r="B18" s="50"/>
      <c r="C18" s="69"/>
      <c r="D18" s="13"/>
      <c r="E18" s="27"/>
      <c r="F18" s="13"/>
      <c r="G18" s="13"/>
      <c r="H18" s="13"/>
      <c r="I18" s="13"/>
      <c r="J18" s="29"/>
      <c r="K18" s="13"/>
      <c r="L18" s="26"/>
      <c r="M18" s="24"/>
      <c r="N18" s="24"/>
      <c r="O18" s="24"/>
      <c r="P18" s="24"/>
      <c r="Q18" s="28"/>
      <c r="S18" s="26"/>
      <c r="T18" s="24"/>
      <c r="U18" s="24"/>
      <c r="V18" s="24"/>
      <c r="W18" s="24"/>
      <c r="X18" s="25"/>
    </row>
    <row r="19" spans="1:24" ht="15" customHeight="1">
      <c r="A19" s="80" t="s">
        <v>103</v>
      </c>
      <c r="B19" s="81"/>
      <c r="C19" s="69"/>
      <c r="D19" s="13"/>
      <c r="E19" s="27"/>
      <c r="F19" s="13"/>
      <c r="G19" s="13"/>
      <c r="H19" s="13"/>
      <c r="I19" s="13"/>
      <c r="J19" s="29"/>
      <c r="K19" s="13"/>
      <c r="L19" s="26"/>
      <c r="M19" s="24"/>
      <c r="N19" s="24"/>
      <c r="O19" s="24"/>
      <c r="P19" s="24"/>
      <c r="Q19" s="28"/>
      <c r="S19" s="26"/>
      <c r="T19" s="24"/>
      <c r="U19" s="24"/>
      <c r="V19" s="24"/>
      <c r="W19" s="24"/>
      <c r="X19" s="25"/>
    </row>
    <row r="20" spans="1:24" ht="15" customHeight="1">
      <c r="A20" s="49"/>
      <c r="B20" s="50"/>
      <c r="C20" s="69"/>
      <c r="D20" s="13"/>
      <c r="E20" s="27"/>
      <c r="F20" s="13"/>
      <c r="G20" s="13"/>
      <c r="H20" s="13"/>
      <c r="I20" s="13"/>
      <c r="J20" s="29"/>
      <c r="K20" s="13"/>
      <c r="L20" s="26"/>
      <c r="M20" s="24"/>
      <c r="N20" s="24"/>
      <c r="O20" s="24"/>
      <c r="P20" s="24"/>
      <c r="Q20" s="28"/>
      <c r="S20" s="26"/>
      <c r="T20" s="24"/>
      <c r="U20" s="24"/>
      <c r="V20" s="24"/>
      <c r="W20" s="24"/>
      <c r="X20" s="25"/>
    </row>
    <row r="21" spans="1:24" ht="15" customHeight="1">
      <c r="A21" s="49"/>
      <c r="B21" s="50"/>
      <c r="C21" s="69"/>
      <c r="D21" s="13"/>
      <c r="E21" s="27"/>
      <c r="F21" s="13"/>
      <c r="G21" s="13"/>
      <c r="H21" s="13"/>
      <c r="I21" s="13"/>
      <c r="J21" s="29"/>
      <c r="K21" s="13"/>
      <c r="L21" s="26"/>
      <c r="M21" s="24"/>
      <c r="N21" s="24"/>
      <c r="O21" s="24"/>
      <c r="P21" s="24"/>
      <c r="Q21" s="28"/>
      <c r="S21" s="26"/>
      <c r="T21" s="24"/>
      <c r="U21" s="24"/>
      <c r="V21" s="24"/>
      <c r="W21" s="24"/>
      <c r="X21" s="25"/>
    </row>
    <row r="22" spans="1:24" ht="15" customHeight="1">
      <c r="A22" s="49"/>
      <c r="B22" s="50"/>
      <c r="C22" s="69"/>
      <c r="D22" s="13"/>
      <c r="E22" s="27"/>
      <c r="F22" s="13"/>
      <c r="G22" s="13"/>
      <c r="H22" s="13"/>
      <c r="I22" s="13"/>
      <c r="J22" s="29"/>
      <c r="K22" s="13"/>
      <c r="L22" s="26"/>
      <c r="M22" s="24"/>
      <c r="N22" s="24"/>
      <c r="O22" s="24"/>
      <c r="P22" s="24"/>
      <c r="Q22" s="28"/>
      <c r="S22" s="26"/>
      <c r="T22" s="24"/>
      <c r="U22" s="24"/>
      <c r="V22" s="24"/>
      <c r="W22" s="24"/>
      <c r="X22" s="25"/>
    </row>
    <row r="23" spans="1:24" ht="15" customHeight="1">
      <c r="A23" s="49"/>
      <c r="B23" s="50"/>
      <c r="C23" s="69"/>
      <c r="D23" s="13"/>
      <c r="E23" s="27"/>
      <c r="F23" s="13"/>
      <c r="G23" s="13"/>
      <c r="H23" s="13"/>
      <c r="I23" s="13"/>
      <c r="J23" s="29"/>
      <c r="K23" s="13"/>
      <c r="L23" s="26"/>
      <c r="M23" s="24"/>
      <c r="N23" s="24"/>
      <c r="O23" s="24"/>
      <c r="P23" s="24"/>
      <c r="Q23" s="28"/>
      <c r="S23" s="26"/>
      <c r="T23" s="24"/>
      <c r="U23" s="24"/>
      <c r="V23" s="24"/>
      <c r="W23" s="24"/>
      <c r="X23" s="25"/>
    </row>
    <row r="24" spans="1:24" ht="15" customHeight="1" thickBot="1">
      <c r="A24" s="49"/>
      <c r="B24" s="50"/>
      <c r="C24" s="70"/>
      <c r="D24" s="13"/>
      <c r="E24" s="27"/>
      <c r="F24" s="13"/>
      <c r="G24" s="13"/>
      <c r="H24" s="13"/>
      <c r="I24" s="13"/>
      <c r="J24" s="29"/>
      <c r="K24" s="13"/>
      <c r="L24" s="27"/>
      <c r="M24" s="13"/>
      <c r="N24" s="13"/>
      <c r="O24" s="13"/>
      <c r="P24" s="13"/>
      <c r="Q24" s="29"/>
      <c r="R24" s="13"/>
      <c r="S24" s="27"/>
      <c r="T24" s="13"/>
      <c r="U24" s="13"/>
      <c r="V24" s="13"/>
      <c r="W24" s="13"/>
      <c r="X24" s="25"/>
    </row>
    <row r="25" spans="1:24" ht="15" customHeight="1">
      <c r="A25" s="77" t="s">
        <v>104</v>
      </c>
      <c r="B25" s="78"/>
      <c r="C25" s="79"/>
      <c r="D25" s="22"/>
      <c r="E25" s="137">
        <f>INDEX(Ave_Calc!$A:$XFD,9,7)</f>
        <v>40873</v>
      </c>
      <c r="F25" s="126"/>
      <c r="G25" s="126">
        <f>INDEX(Ave_Calc!$A:$XFD,9,8)</f>
        <v>40986</v>
      </c>
      <c r="H25" s="126"/>
      <c r="I25" s="126">
        <f>INDEX(Ave_Calc!$A:$XFD,9,9)</f>
        <v>41055</v>
      </c>
      <c r="J25" s="138"/>
      <c r="K25" s="23"/>
      <c r="L25" s="137">
        <f>INDEX(Ave_Calc!$A:$XFD,9,7)</f>
        <v>40873</v>
      </c>
      <c r="M25" s="126"/>
      <c r="N25" s="126">
        <f>INDEX(Ave_Calc!$A:$XFD,9,8)</f>
        <v>40986</v>
      </c>
      <c r="O25" s="126"/>
      <c r="P25" s="126">
        <f>INDEX(Ave_Calc!$A:$XFD,9,9)</f>
        <v>41055</v>
      </c>
      <c r="Q25" s="138"/>
      <c r="R25" s="23"/>
      <c r="S25" s="137">
        <f>INDEX(Ave_Calc!$A:$XFD,9,7)</f>
        <v>40873</v>
      </c>
      <c r="T25" s="126"/>
      <c r="U25" s="126">
        <f>INDEX(Ave_Calc!$A:$XFD,9,8)</f>
        <v>40986</v>
      </c>
      <c r="V25" s="126"/>
      <c r="W25" s="126">
        <f>INDEX(Ave_Calc!$A:$XFD,9,9)</f>
        <v>41055</v>
      </c>
      <c r="X25" s="127"/>
    </row>
    <row r="26" spans="1:24" ht="15" customHeight="1">
      <c r="A26" s="128" t="s">
        <v>97</v>
      </c>
      <c r="B26" s="129"/>
      <c r="C26" s="130"/>
      <c r="D26" s="22"/>
      <c r="E26" s="131">
        <f>INDEX(Ave_Calc!$A:$XFD,8,7)</f>
        <v>260</v>
      </c>
      <c r="F26" s="119"/>
      <c r="G26" s="119">
        <f>INDEX(Ave_Calc!$A:$XFD,8,8)</f>
        <v>373</v>
      </c>
      <c r="H26" s="119"/>
      <c r="I26" s="119">
        <f>INDEX(Ave_Calc!$A:$XFD,8,9)</f>
        <v>442</v>
      </c>
      <c r="J26" s="132"/>
      <c r="K26" s="22"/>
      <c r="L26" s="131">
        <f>INDEX(Ave_Calc!$A:$XFD,8,7)</f>
        <v>260</v>
      </c>
      <c r="M26" s="119"/>
      <c r="N26" s="119">
        <f>INDEX(Ave_Calc!$A:$XFD,8,8)</f>
        <v>373</v>
      </c>
      <c r="O26" s="119"/>
      <c r="P26" s="119">
        <f>INDEX(Ave_Calc!$A:$XFD,8,9)</f>
        <v>442</v>
      </c>
      <c r="Q26" s="132"/>
      <c r="R26" s="23"/>
      <c r="S26" s="131">
        <f>INDEX(Ave_Calc!$A:$XFD,8,7)</f>
        <v>260</v>
      </c>
      <c r="T26" s="119"/>
      <c r="U26" s="119">
        <f>INDEX(Ave_Calc!$A:$XFD,8,8)</f>
        <v>373</v>
      </c>
      <c r="V26" s="119"/>
      <c r="W26" s="119">
        <f>INDEX(Ave_Calc!$A:$XFD,8,9)</f>
        <v>442</v>
      </c>
      <c r="X26" s="120"/>
    </row>
    <row r="27" spans="1:24" ht="15" customHeight="1">
      <c r="A27" s="121" t="s">
        <v>91</v>
      </c>
      <c r="B27" s="122"/>
      <c r="C27" s="123"/>
      <c r="D27" s="22"/>
      <c r="E27" s="124">
        <f>INDEX(Ave_Calc!$A:$XFD,29,7)</f>
        <v>13.1</v>
      </c>
      <c r="F27" s="115"/>
      <c r="G27" s="115">
        <f>INDEX(Ave_Calc!$A:$XFD,29,8)</f>
        <v>10.8</v>
      </c>
      <c r="H27" s="115"/>
      <c r="I27" s="115">
        <f>INDEX(Ave_Calc!$A:$XFD,29,9)</f>
        <v>12.4</v>
      </c>
      <c r="J27" s="125"/>
      <c r="K27" s="22"/>
      <c r="L27" s="124">
        <f>INDEX(Ave_Calc!$A:$XFD,29,10)</f>
        <v>13</v>
      </c>
      <c r="M27" s="115"/>
      <c r="N27" s="115">
        <f>INDEX(Ave_Calc!$A:$XFD,29,11)</f>
        <v>10.8</v>
      </c>
      <c r="O27" s="115"/>
      <c r="P27" s="115">
        <f>INDEX(Ave_Calc!$A:$XFD,29,12)</f>
        <v>11.9</v>
      </c>
      <c r="Q27" s="125"/>
      <c r="R27" s="23"/>
      <c r="S27" s="124">
        <f>INDEX(Ave_Calc!$A:$XFD,29,13)</f>
        <v>15.2</v>
      </c>
      <c r="T27" s="115"/>
      <c r="U27" s="115">
        <f>INDEX(Ave_Calc!$A:$XFD,29,14)</f>
        <v>10.8</v>
      </c>
      <c r="V27" s="115"/>
      <c r="W27" s="115">
        <f>INDEX(Ave_Calc!$A:$XFD,29,15)</f>
        <v>12.1</v>
      </c>
      <c r="X27" s="116"/>
    </row>
    <row r="28" spans="1:24" ht="15" customHeight="1">
      <c r="A28" s="105" t="s">
        <v>92</v>
      </c>
      <c r="B28" s="106"/>
      <c r="C28" s="107"/>
      <c r="D28" s="22"/>
      <c r="E28" s="117">
        <f>INDEX(Ave_Calc!$A:$XFD,30,7)</f>
        <v>10.7</v>
      </c>
      <c r="F28" s="103"/>
      <c r="G28" s="103">
        <f>INDEX(Ave_Calc!$A:$XFD,30,8)</f>
        <v>9.87</v>
      </c>
      <c r="H28" s="103"/>
      <c r="I28" s="103">
        <f>INDEX(Ave_Calc!$A:$XFD,30,9)</f>
        <v>6.65</v>
      </c>
      <c r="J28" s="118"/>
      <c r="K28" s="22"/>
      <c r="L28" s="117">
        <f>INDEX(Ave_Calc!$A:$XFD,30,10)</f>
        <v>10.7</v>
      </c>
      <c r="M28" s="103"/>
      <c r="N28" s="103">
        <f>INDEX(Ave_Calc!$A:$XFD,30,11)</f>
        <v>9.87</v>
      </c>
      <c r="O28" s="103"/>
      <c r="P28" s="103">
        <f>INDEX(Ave_Calc!$A:$XFD,30,12)</f>
        <v>6.66</v>
      </c>
      <c r="Q28" s="118"/>
      <c r="R28" s="23"/>
      <c r="S28" s="117">
        <f>INDEX(Ave_Calc!$A:$XFD,30,13)</f>
        <v>10.7</v>
      </c>
      <c r="T28" s="103"/>
      <c r="U28" s="103">
        <f>INDEX(Ave_Calc!$A:$XFD,30,14)</f>
        <v>9.88</v>
      </c>
      <c r="V28" s="103"/>
      <c r="W28" s="103">
        <f>INDEX(Ave_Calc!$A:$XFD,30,15)</f>
        <v>7.36</v>
      </c>
      <c r="X28" s="104"/>
    </row>
    <row r="29" spans="1:24" ht="15" customHeight="1">
      <c r="A29" s="105" t="s">
        <v>93</v>
      </c>
      <c r="B29" s="106"/>
      <c r="C29" s="107"/>
      <c r="D29" s="22"/>
      <c r="E29" s="108">
        <f>INDEX(Ave_Calc!$A:$XFD,39,7)</f>
        <v>11.536449599626602</v>
      </c>
      <c r="F29" s="109"/>
      <c r="G29" s="109">
        <f>INDEX(Ave_Calc!$A:$XFD,39,8)</f>
        <v>9.995523272487898</v>
      </c>
      <c r="H29" s="109"/>
      <c r="I29" s="109">
        <f>INDEX(Ave_Calc!$A:$XFD,39,9)</f>
        <v>9.21105570735882</v>
      </c>
      <c r="J29" s="110"/>
      <c r="K29" s="22"/>
      <c r="L29" s="111">
        <f>INDEX(Ave_Calc!$A:$XFD,39,10)</f>
        <v>11.456133901141685</v>
      </c>
      <c r="M29" s="112"/>
      <c r="N29" s="112">
        <f>INDEX(Ave_Calc!$A:$XFD,39,11)</f>
        <v>9.993601278539124</v>
      </c>
      <c r="O29" s="112"/>
      <c r="P29" s="112">
        <f>INDEX(Ave_Calc!$A:$XFD,39,12)</f>
        <v>9.458007920114467</v>
      </c>
      <c r="Q29" s="113"/>
      <c r="R29" s="23"/>
      <c r="S29" s="114">
        <f>INDEX(Ave_Calc!$A:$XFD,39,13)</f>
        <v>11.88492172627437</v>
      </c>
      <c r="T29" s="99"/>
      <c r="U29" s="99">
        <f>INDEX(Ave_Calc!$A:$XFD,39,14)</f>
        <v>9.997453286500267</v>
      </c>
      <c r="V29" s="99"/>
      <c r="W29" s="99">
        <f>INDEX(Ave_Calc!$A:$XFD,39,15)</f>
        <v>9.603302303695683</v>
      </c>
      <c r="X29" s="100"/>
    </row>
    <row r="30" spans="1:24" ht="15" customHeight="1">
      <c r="A30" s="82" t="s">
        <v>94</v>
      </c>
      <c r="B30" s="83"/>
      <c r="C30" s="84"/>
      <c r="D30" s="22"/>
      <c r="E30" s="101">
        <f>INDEX(Ave_Calc!$A:$XFD,40,7)</f>
        <v>1.062801727474763</v>
      </c>
      <c r="F30" s="92"/>
      <c r="G30" s="92">
        <f>INDEX(Ave_Calc!$A:$XFD,40,8)</f>
        <v>1.0184013232601035</v>
      </c>
      <c r="H30" s="92"/>
      <c r="I30" s="92">
        <f>INDEX(Ave_Calc!$A:$XFD,40,9)</f>
        <v>1.170015723137429</v>
      </c>
      <c r="J30" s="102"/>
      <c r="K30" s="22"/>
      <c r="L30" s="101">
        <f>INDEX(Ave_Calc!$A:$XFD,40,10)</f>
        <v>1.053978757441384</v>
      </c>
      <c r="M30" s="92"/>
      <c r="N30" s="92">
        <f>INDEX(Ave_Calc!$A:$XFD,40,11)</f>
        <v>1.0185026449181291</v>
      </c>
      <c r="O30" s="92"/>
      <c r="P30" s="92">
        <f>INDEX(Ave_Calc!$A:$XFD,40,12)</f>
        <v>1.164493462758046</v>
      </c>
      <c r="Q30" s="102"/>
      <c r="R30" s="23"/>
      <c r="S30" s="101">
        <f>INDEX(Ave_Calc!$A:$XFD,40,13)</f>
        <v>1.0950896955264773</v>
      </c>
      <c r="T30" s="92"/>
      <c r="U30" s="92">
        <f>INDEX(Ave_Calc!$A:$XFD,40,14)</f>
        <v>1.0182520091579448</v>
      </c>
      <c r="V30" s="92"/>
      <c r="W30" s="92">
        <f>INDEX(Ave_Calc!$A:$XFD,40,15)</f>
        <v>1.1620036516497128</v>
      </c>
      <c r="X30" s="67"/>
    </row>
    <row r="31" spans="1:24" ht="15" customHeight="1">
      <c r="A31" s="47" t="s">
        <v>98</v>
      </c>
      <c r="B31" s="93" t="s">
        <v>99</v>
      </c>
      <c r="C31" s="94"/>
      <c r="D31" s="22"/>
      <c r="E31" s="95">
        <f>INDEX(Ave_Calc!$A:$XFD,42,7)</f>
        <v>-0.0005385198780728403</v>
      </c>
      <c r="F31" s="96"/>
      <c r="G31" s="96"/>
      <c r="H31" s="96">
        <f>INDEX(Ave_Calc!$A:$XFD,42,8)</f>
        <v>1.2016986618451517</v>
      </c>
      <c r="I31" s="96"/>
      <c r="J31" s="97"/>
      <c r="K31" s="22"/>
      <c r="L31" s="95">
        <f>INDEX(Ave_Calc!$A:$XFD,42,10)</f>
        <v>-0.00046398600533555025</v>
      </c>
      <c r="M31" s="96"/>
      <c r="N31" s="96"/>
      <c r="O31" s="96">
        <f>INDEX(Ave_Calc!$A:$XFD,42,11)</f>
        <v>1.1777815761006116</v>
      </c>
      <c r="P31" s="96"/>
      <c r="Q31" s="97"/>
      <c r="R31" s="23"/>
      <c r="S31" s="95">
        <f>INDEX(Ave_Calc!$A:$XFD,42,13)</f>
        <v>-0.0005239707144049611</v>
      </c>
      <c r="T31" s="96"/>
      <c r="U31" s="96"/>
      <c r="V31" s="96">
        <f>INDEX(Ave_Calc!$A:$XFD,42,14)</f>
        <v>1.2068582758855488</v>
      </c>
      <c r="W31" s="96"/>
      <c r="X31" s="98"/>
    </row>
    <row r="32" spans="1:24" ht="15" customHeight="1" thickBot="1">
      <c r="A32" s="48" t="s">
        <v>117</v>
      </c>
      <c r="B32" s="90" t="s">
        <v>90</v>
      </c>
      <c r="C32" s="91"/>
      <c r="D32" s="22"/>
      <c r="E32" s="87">
        <f>INDEX(Ave_Calc!$A:$XFD,42,9)</f>
        <v>0.9996718590810414</v>
      </c>
      <c r="F32" s="88"/>
      <c r="G32" s="88"/>
      <c r="H32" s="85" t="str">
        <f>TEXT(LN(2)/ABS(LN(10^E31)),"#,##0")&amp;"d"&amp;"("&amp;TEXT(LN(2)/ABS(LN(10^E31))/365.42,"0.00")&amp;"y)"</f>
        <v>559d(1.53y)</v>
      </c>
      <c r="I32" s="85"/>
      <c r="J32" s="86"/>
      <c r="K32" s="22"/>
      <c r="L32" s="87">
        <f>INDEX(Ave_Calc!$A:$XFD,42,12)</f>
        <v>0.9896217894790068</v>
      </c>
      <c r="M32" s="88"/>
      <c r="N32" s="88"/>
      <c r="O32" s="85" t="str">
        <f>TEXT(LN(2)/ABS(LN(10^L31)),"#,##0")&amp;"d"&amp;"("&amp;TEXT(LN(2)/ABS(LN(10^L31))/365.42,"0.00")&amp;"y)"</f>
        <v>649d(1.78y)</v>
      </c>
      <c r="P32" s="85"/>
      <c r="Q32" s="86"/>
      <c r="R32" s="23"/>
      <c r="S32" s="87">
        <f>INDEX(Ave_Calc!$A:$XFD,42,15)</f>
        <v>0.9580023410937831</v>
      </c>
      <c r="T32" s="88"/>
      <c r="U32" s="88"/>
      <c r="V32" s="85" t="str">
        <f>TEXT(LN(2)/ABS(LN(10^S31)),"#,##0")&amp;"d"&amp;"("&amp;TEXT(LN(2)/ABS(LN(10^S31))/365.42,"0.00")&amp;"y)"</f>
        <v>575d(1.57y)</v>
      </c>
      <c r="W32" s="85"/>
      <c r="X32" s="89"/>
    </row>
    <row r="33" ht="15" customHeight="1" thickBot="1">
      <c r="X33" s="13"/>
    </row>
    <row r="34" spans="1:24" ht="15" customHeight="1">
      <c r="A34" s="46" t="s">
        <v>73</v>
      </c>
      <c r="B34" s="133" t="s">
        <v>100</v>
      </c>
      <c r="C34" s="133"/>
      <c r="D34" s="22"/>
      <c r="E34" s="134" t="s">
        <v>101</v>
      </c>
      <c r="F34" s="134"/>
      <c r="G34" s="135" t="s">
        <v>106</v>
      </c>
      <c r="H34" s="135"/>
      <c r="I34" s="135"/>
      <c r="J34" s="135"/>
      <c r="K34" s="22"/>
      <c r="L34" s="134" t="s">
        <v>101</v>
      </c>
      <c r="M34" s="134"/>
      <c r="N34" s="136" t="s">
        <v>107</v>
      </c>
      <c r="O34" s="136"/>
      <c r="P34" s="136"/>
      <c r="Q34" s="136"/>
      <c r="R34" s="23"/>
      <c r="S34" s="134" t="s">
        <v>101</v>
      </c>
      <c r="T34" s="134"/>
      <c r="U34" s="178" t="s">
        <v>108</v>
      </c>
      <c r="V34" s="178"/>
      <c r="W34" s="178"/>
      <c r="X34" s="179"/>
    </row>
    <row r="35" spans="1:24" ht="15" customHeight="1">
      <c r="A35" s="71" t="s">
        <v>110</v>
      </c>
      <c r="B35" s="72"/>
      <c r="C35" s="73"/>
      <c r="D35" s="13"/>
      <c r="E35" s="27"/>
      <c r="F35" s="13"/>
      <c r="G35" s="13"/>
      <c r="H35" s="13"/>
      <c r="I35" s="13"/>
      <c r="J35" s="29"/>
      <c r="K35" s="13"/>
      <c r="L35" s="26"/>
      <c r="M35" s="24"/>
      <c r="N35" s="24"/>
      <c r="O35" s="24"/>
      <c r="P35" s="24"/>
      <c r="Q35" s="28"/>
      <c r="S35" s="26"/>
      <c r="T35" s="24"/>
      <c r="U35" s="24"/>
      <c r="V35" s="24"/>
      <c r="W35" s="24"/>
      <c r="X35" s="25"/>
    </row>
    <row r="36" spans="1:24" ht="15" customHeight="1">
      <c r="A36" s="74"/>
      <c r="B36" s="75"/>
      <c r="C36" s="76"/>
      <c r="D36" s="13"/>
      <c r="E36" s="27"/>
      <c r="F36" s="13"/>
      <c r="G36" s="13"/>
      <c r="H36" s="13"/>
      <c r="I36" s="13"/>
      <c r="J36" s="29"/>
      <c r="K36" s="13"/>
      <c r="L36" s="26"/>
      <c r="M36" s="24"/>
      <c r="N36" s="24"/>
      <c r="O36" s="24"/>
      <c r="P36" s="24"/>
      <c r="Q36" s="28"/>
      <c r="S36" s="26"/>
      <c r="T36" s="24"/>
      <c r="U36" s="24"/>
      <c r="V36" s="24"/>
      <c r="W36" s="24"/>
      <c r="X36" s="25"/>
    </row>
    <row r="37" spans="1:24" ht="15" customHeight="1">
      <c r="A37" s="74"/>
      <c r="B37" s="75"/>
      <c r="C37" s="76"/>
      <c r="D37" s="13"/>
      <c r="E37" s="27"/>
      <c r="F37" s="13"/>
      <c r="G37" s="13"/>
      <c r="H37" s="13"/>
      <c r="I37" s="13"/>
      <c r="J37" s="29"/>
      <c r="K37" s="13"/>
      <c r="L37" s="26"/>
      <c r="M37" s="24"/>
      <c r="N37" s="24"/>
      <c r="O37" s="24"/>
      <c r="P37" s="24"/>
      <c r="Q37" s="28"/>
      <c r="S37" s="26"/>
      <c r="T37" s="24"/>
      <c r="U37" s="24"/>
      <c r="V37" s="24"/>
      <c r="W37" s="24"/>
      <c r="X37" s="25"/>
    </row>
    <row r="38" spans="1:24" ht="15" customHeight="1">
      <c r="A38" s="49"/>
      <c r="B38" s="50"/>
      <c r="C38" s="69" t="s">
        <v>102</v>
      </c>
      <c r="D38" s="13"/>
      <c r="E38" s="27"/>
      <c r="F38" s="13"/>
      <c r="G38" s="13"/>
      <c r="H38" s="13"/>
      <c r="I38" s="13"/>
      <c r="J38" s="29"/>
      <c r="K38" s="13"/>
      <c r="L38" s="26"/>
      <c r="M38" s="24"/>
      <c r="N38" s="24"/>
      <c r="O38" s="24"/>
      <c r="P38" s="24"/>
      <c r="Q38" s="28"/>
      <c r="S38" s="26"/>
      <c r="T38" s="24"/>
      <c r="U38" s="24"/>
      <c r="V38" s="24"/>
      <c r="W38" s="24"/>
      <c r="X38" s="25"/>
    </row>
    <row r="39" spans="1:24" ht="15" customHeight="1">
      <c r="A39" s="49"/>
      <c r="B39" s="50"/>
      <c r="C39" s="69"/>
      <c r="D39" s="13"/>
      <c r="E39" s="27"/>
      <c r="F39" s="13"/>
      <c r="G39" s="13"/>
      <c r="H39" s="13"/>
      <c r="I39" s="13"/>
      <c r="J39" s="29"/>
      <c r="K39" s="13"/>
      <c r="L39" s="26"/>
      <c r="M39" s="24"/>
      <c r="N39" s="24"/>
      <c r="O39" s="24"/>
      <c r="P39" s="24"/>
      <c r="Q39" s="28"/>
      <c r="S39" s="26"/>
      <c r="T39" s="24"/>
      <c r="U39" s="24"/>
      <c r="V39" s="24"/>
      <c r="W39" s="24"/>
      <c r="X39" s="25"/>
    </row>
    <row r="40" spans="1:24" ht="15" customHeight="1">
      <c r="A40" s="80" t="s">
        <v>103</v>
      </c>
      <c r="B40" s="81"/>
      <c r="C40" s="69"/>
      <c r="D40" s="13"/>
      <c r="E40" s="27"/>
      <c r="F40" s="13"/>
      <c r="G40" s="13"/>
      <c r="H40" s="13"/>
      <c r="I40" s="13"/>
      <c r="J40" s="29"/>
      <c r="K40" s="13"/>
      <c r="L40" s="26"/>
      <c r="M40" s="24"/>
      <c r="N40" s="24"/>
      <c r="O40" s="24"/>
      <c r="P40" s="24"/>
      <c r="Q40" s="28"/>
      <c r="S40" s="26"/>
      <c r="T40" s="24"/>
      <c r="U40" s="24"/>
      <c r="V40" s="24"/>
      <c r="W40" s="24"/>
      <c r="X40" s="25"/>
    </row>
    <row r="41" spans="1:24" ht="15" customHeight="1">
      <c r="A41" s="49"/>
      <c r="B41" s="50"/>
      <c r="C41" s="69"/>
      <c r="D41" s="13"/>
      <c r="E41" s="27"/>
      <c r="F41" s="13"/>
      <c r="G41" s="13"/>
      <c r="H41" s="13"/>
      <c r="I41" s="13"/>
      <c r="J41" s="29"/>
      <c r="K41" s="13"/>
      <c r="L41" s="26"/>
      <c r="M41" s="24"/>
      <c r="N41" s="24"/>
      <c r="O41" s="24"/>
      <c r="P41" s="24"/>
      <c r="Q41" s="28"/>
      <c r="S41" s="26"/>
      <c r="T41" s="24"/>
      <c r="U41" s="24"/>
      <c r="V41" s="24"/>
      <c r="W41" s="24"/>
      <c r="X41" s="25"/>
    </row>
    <row r="42" spans="1:24" ht="15" customHeight="1">
      <c r="A42" s="49"/>
      <c r="B42" s="50"/>
      <c r="C42" s="69"/>
      <c r="D42" s="13"/>
      <c r="E42" s="27"/>
      <c r="F42" s="13"/>
      <c r="G42" s="13"/>
      <c r="H42" s="13"/>
      <c r="I42" s="13"/>
      <c r="J42" s="29"/>
      <c r="K42" s="13"/>
      <c r="L42" s="26"/>
      <c r="M42" s="24"/>
      <c r="N42" s="24"/>
      <c r="O42" s="24"/>
      <c r="P42" s="24"/>
      <c r="Q42" s="28"/>
      <c r="S42" s="26"/>
      <c r="T42" s="24"/>
      <c r="U42" s="24"/>
      <c r="V42" s="24"/>
      <c r="W42" s="24"/>
      <c r="X42" s="25"/>
    </row>
    <row r="43" spans="1:24" ht="15" customHeight="1">
      <c r="A43" s="49"/>
      <c r="B43" s="50"/>
      <c r="C43" s="69"/>
      <c r="D43" s="13"/>
      <c r="E43" s="27"/>
      <c r="F43" s="13"/>
      <c r="G43" s="13"/>
      <c r="H43" s="13"/>
      <c r="I43" s="13"/>
      <c r="J43" s="29"/>
      <c r="K43" s="13"/>
      <c r="L43" s="26"/>
      <c r="M43" s="24"/>
      <c r="N43" s="24"/>
      <c r="O43" s="24"/>
      <c r="P43" s="24"/>
      <c r="Q43" s="28"/>
      <c r="S43" s="26"/>
      <c r="T43" s="24"/>
      <c r="U43" s="24"/>
      <c r="V43" s="24"/>
      <c r="W43" s="24"/>
      <c r="X43" s="25"/>
    </row>
    <row r="44" spans="1:24" ht="15" customHeight="1">
      <c r="A44" s="49"/>
      <c r="B44" s="50"/>
      <c r="C44" s="69"/>
      <c r="D44" s="13"/>
      <c r="E44" s="27"/>
      <c r="F44" s="13"/>
      <c r="G44" s="13"/>
      <c r="H44" s="13"/>
      <c r="I44" s="13"/>
      <c r="J44" s="29"/>
      <c r="K44" s="13"/>
      <c r="L44" s="26"/>
      <c r="M44" s="24"/>
      <c r="N44" s="24"/>
      <c r="O44" s="24"/>
      <c r="P44" s="24"/>
      <c r="Q44" s="28"/>
      <c r="S44" s="26"/>
      <c r="T44" s="24"/>
      <c r="U44" s="24"/>
      <c r="V44" s="24"/>
      <c r="W44" s="24"/>
      <c r="X44" s="25"/>
    </row>
    <row r="45" spans="1:24" ht="15" customHeight="1" thickBot="1">
      <c r="A45" s="49"/>
      <c r="B45" s="50"/>
      <c r="C45" s="70"/>
      <c r="D45" s="13"/>
      <c r="E45" s="27"/>
      <c r="F45" s="13"/>
      <c r="G45" s="13"/>
      <c r="H45" s="13"/>
      <c r="I45" s="13"/>
      <c r="J45" s="29"/>
      <c r="K45" s="13"/>
      <c r="L45" s="27"/>
      <c r="M45" s="13"/>
      <c r="N45" s="13"/>
      <c r="O45" s="13"/>
      <c r="P45" s="13"/>
      <c r="Q45" s="29"/>
      <c r="R45" s="13"/>
      <c r="S45" s="27"/>
      <c r="T45" s="13"/>
      <c r="U45" s="13"/>
      <c r="V45" s="13"/>
      <c r="W45" s="13"/>
      <c r="X45" s="25"/>
    </row>
    <row r="46" spans="1:24" ht="15" customHeight="1">
      <c r="A46" s="77" t="s">
        <v>104</v>
      </c>
      <c r="B46" s="78"/>
      <c r="C46" s="79"/>
      <c r="D46" s="22"/>
      <c r="E46" s="137">
        <f>INDEX(Ave_Calc!$A:$XFD,9,7)</f>
        <v>40873</v>
      </c>
      <c r="F46" s="126"/>
      <c r="G46" s="126">
        <f>INDEX(Ave_Calc!$A:$XFD,9,8)</f>
        <v>40986</v>
      </c>
      <c r="H46" s="126"/>
      <c r="I46" s="126">
        <f>INDEX(Ave_Calc!$A:$XFD,9,9)</f>
        <v>41055</v>
      </c>
      <c r="J46" s="138"/>
      <c r="K46" s="23"/>
      <c r="L46" s="137">
        <f>INDEX(Ave_Calc!$A:$XFD,9,7)</f>
        <v>40873</v>
      </c>
      <c r="M46" s="126"/>
      <c r="N46" s="126">
        <f>INDEX(Ave_Calc!$A:$XFD,9,8)</f>
        <v>40986</v>
      </c>
      <c r="O46" s="126"/>
      <c r="P46" s="126">
        <f>INDEX(Ave_Calc!$A:$XFD,9,9)</f>
        <v>41055</v>
      </c>
      <c r="Q46" s="138"/>
      <c r="R46" s="23"/>
      <c r="S46" s="137">
        <f>INDEX(Ave_Calc!$A:$XFD,9,7)</f>
        <v>40873</v>
      </c>
      <c r="T46" s="126"/>
      <c r="U46" s="126">
        <f>INDEX(Ave_Calc!$A:$XFD,9,8)</f>
        <v>40986</v>
      </c>
      <c r="V46" s="126"/>
      <c r="W46" s="126">
        <f>INDEX(Ave_Calc!$A:$XFD,9,9)</f>
        <v>41055</v>
      </c>
      <c r="X46" s="127"/>
    </row>
    <row r="47" spans="1:24" ht="15" customHeight="1">
      <c r="A47" s="128" t="s">
        <v>97</v>
      </c>
      <c r="B47" s="129"/>
      <c r="C47" s="130"/>
      <c r="D47" s="22"/>
      <c r="E47" s="131">
        <f>INDEX(Ave_Calc!$A:$XFD,8,7)</f>
        <v>260</v>
      </c>
      <c r="F47" s="119"/>
      <c r="G47" s="119">
        <f>INDEX(Ave_Calc!$A:$XFD,8,8)</f>
        <v>373</v>
      </c>
      <c r="H47" s="119"/>
      <c r="I47" s="119">
        <f>INDEX(Ave_Calc!$A:$XFD,8,9)</f>
        <v>442</v>
      </c>
      <c r="J47" s="132"/>
      <c r="K47" s="22"/>
      <c r="L47" s="131">
        <f>INDEX(Ave_Calc!$A:$XFD,8,7)</f>
        <v>260</v>
      </c>
      <c r="M47" s="119"/>
      <c r="N47" s="119">
        <f>INDEX(Ave_Calc!$A:$XFD,8,8)</f>
        <v>373</v>
      </c>
      <c r="O47" s="119"/>
      <c r="P47" s="119">
        <f>INDEX(Ave_Calc!$A:$XFD,8,9)</f>
        <v>442</v>
      </c>
      <c r="Q47" s="132"/>
      <c r="R47" s="23"/>
      <c r="S47" s="131">
        <f>INDEX(Ave_Calc!$A:$XFD,8,7)</f>
        <v>260</v>
      </c>
      <c r="T47" s="119"/>
      <c r="U47" s="119">
        <f>INDEX(Ave_Calc!$A:$XFD,8,8)</f>
        <v>373</v>
      </c>
      <c r="V47" s="119"/>
      <c r="W47" s="119">
        <f>INDEX(Ave_Calc!$A:$XFD,8,9)</f>
        <v>442</v>
      </c>
      <c r="X47" s="120"/>
    </row>
    <row r="48" spans="1:24" ht="15" customHeight="1">
      <c r="A48" s="121" t="s">
        <v>91</v>
      </c>
      <c r="B48" s="122"/>
      <c r="C48" s="123"/>
      <c r="D48" s="22"/>
      <c r="E48" s="124">
        <f>INDEX(Ave_Calc!$A:$XFD,13,7)</f>
        <v>13</v>
      </c>
      <c r="F48" s="115"/>
      <c r="G48" s="115">
        <f>INDEX(Ave_Calc!$A:$XFD,13,8)</f>
        <v>13.4</v>
      </c>
      <c r="H48" s="115"/>
      <c r="I48" s="115">
        <f>INDEX(Ave_Calc!$A:$XFD,13,9)</f>
        <v>9.49</v>
      </c>
      <c r="J48" s="125"/>
      <c r="K48" s="22"/>
      <c r="L48" s="124">
        <f>INDEX(Ave_Calc!$A:$XFD,13,10)</f>
        <v>13</v>
      </c>
      <c r="M48" s="115"/>
      <c r="N48" s="115">
        <f>INDEX(Ave_Calc!$A:$XFD,13,11)</f>
        <v>13.4</v>
      </c>
      <c r="O48" s="115"/>
      <c r="P48" s="115">
        <f>INDEX(Ave_Calc!$A:$XFD,13,12)</f>
        <v>10.2</v>
      </c>
      <c r="Q48" s="125"/>
      <c r="R48" s="23"/>
      <c r="S48" s="124">
        <f>INDEX(Ave_Calc!$A:$XFD,13,13)</f>
        <v>14.5</v>
      </c>
      <c r="T48" s="115"/>
      <c r="U48" s="115">
        <f>INDEX(Ave_Calc!$A:$XFD,13,14)</f>
        <v>13.5</v>
      </c>
      <c r="V48" s="115"/>
      <c r="W48" s="115">
        <f>INDEX(Ave_Calc!$A:$XFD,13,15)</f>
        <v>10.5</v>
      </c>
      <c r="X48" s="116"/>
    </row>
    <row r="49" spans="1:24" ht="15" customHeight="1">
      <c r="A49" s="105" t="s">
        <v>92</v>
      </c>
      <c r="B49" s="106"/>
      <c r="C49" s="107"/>
      <c r="D49" s="22"/>
      <c r="E49" s="117">
        <f>INDEX(Ave_Calc!$A:$XFD,14,7)</f>
        <v>7.8</v>
      </c>
      <c r="F49" s="103"/>
      <c r="G49" s="103">
        <f>INDEX(Ave_Calc!$A:$XFD,14,8)</f>
        <v>10</v>
      </c>
      <c r="H49" s="103"/>
      <c r="I49" s="103">
        <f>INDEX(Ave_Calc!$A:$XFD,14,9)</f>
        <v>5.14</v>
      </c>
      <c r="J49" s="118"/>
      <c r="K49" s="22"/>
      <c r="L49" s="117">
        <f>INDEX(Ave_Calc!$A:$XFD,14,10)</f>
        <v>7.71</v>
      </c>
      <c r="M49" s="103"/>
      <c r="N49" s="103">
        <f>INDEX(Ave_Calc!$A:$XFD,14,11)</f>
        <v>10</v>
      </c>
      <c r="O49" s="103"/>
      <c r="P49" s="103">
        <f>INDEX(Ave_Calc!$A:$XFD,14,12)</f>
        <v>6.04</v>
      </c>
      <c r="Q49" s="118"/>
      <c r="R49" s="23"/>
      <c r="S49" s="117">
        <f>INDEX(Ave_Calc!$A:$XFD,14,13)</f>
        <v>7.97</v>
      </c>
      <c r="T49" s="103"/>
      <c r="U49" s="103">
        <f>INDEX(Ave_Calc!$A:$XFD,14,14)</f>
        <v>10</v>
      </c>
      <c r="V49" s="103"/>
      <c r="W49" s="103">
        <f>INDEX(Ave_Calc!$A:$XFD,14,15)</f>
        <v>6.04</v>
      </c>
      <c r="X49" s="104"/>
    </row>
    <row r="50" spans="1:24" ht="15" customHeight="1">
      <c r="A50" s="105" t="s">
        <v>93</v>
      </c>
      <c r="B50" s="106"/>
      <c r="C50" s="107"/>
      <c r="D50" s="22"/>
      <c r="E50" s="108">
        <f>INDEX(Ave_Calc!$A:$XFD,23,7)</f>
        <v>10.012443435801607</v>
      </c>
      <c r="F50" s="109"/>
      <c r="G50" s="109">
        <f>INDEX(Ave_Calc!$A:$XFD,23,8)</f>
        <v>11.098352202984346</v>
      </c>
      <c r="H50" s="109"/>
      <c r="I50" s="109">
        <f>INDEX(Ave_Calc!$A:$XFD,23,9)</f>
        <v>7.281739879256426</v>
      </c>
      <c r="J50" s="110"/>
      <c r="K50" s="22"/>
      <c r="L50" s="111">
        <f>INDEX(Ave_Calc!$A:$XFD,23,10)</f>
        <v>9.960918276640983</v>
      </c>
      <c r="M50" s="112"/>
      <c r="N50" s="112">
        <f>INDEX(Ave_Calc!$A:$XFD,23,11)</f>
        <v>11.101039149825164</v>
      </c>
      <c r="O50" s="112"/>
      <c r="P50" s="112">
        <f>INDEX(Ave_Calc!$A:$XFD,23,12)</f>
        <v>7.592880616670298</v>
      </c>
      <c r="Q50" s="113"/>
      <c r="R50" s="23"/>
      <c r="S50" s="114">
        <f>INDEX(Ave_Calc!$A:$XFD,23,13)</f>
        <v>10.94896626928754</v>
      </c>
      <c r="T50" s="99"/>
      <c r="U50" s="99">
        <f>INDEX(Ave_Calc!$A:$XFD,23,14)</f>
        <v>11.13524214316631</v>
      </c>
      <c r="V50" s="99"/>
      <c r="W50" s="99">
        <f>INDEX(Ave_Calc!$A:$XFD,23,15)</f>
        <v>7.695084228074247</v>
      </c>
      <c r="X50" s="100"/>
    </row>
    <row r="51" spans="1:24" ht="15" customHeight="1">
      <c r="A51" s="82" t="s">
        <v>94</v>
      </c>
      <c r="B51" s="83"/>
      <c r="C51" s="84"/>
      <c r="D51" s="22"/>
      <c r="E51" s="101">
        <f>INDEX(Ave_Calc!$A:$XFD,24,7)</f>
        <v>1.1959039343853504</v>
      </c>
      <c r="F51" s="92"/>
      <c r="G51" s="92">
        <f>INDEX(Ave_Calc!$A:$XFD,24,8)</f>
        <v>1.0964906239625125</v>
      </c>
      <c r="H51" s="92"/>
      <c r="I51" s="92">
        <f>INDEX(Ave_Calc!$A:$XFD,24,9)</f>
        <v>1.1789137604113216</v>
      </c>
      <c r="J51" s="102"/>
      <c r="K51" s="22"/>
      <c r="L51" s="101">
        <f>INDEX(Ave_Calc!$A:$XFD,24,10)</f>
        <v>1.2003479311201828</v>
      </c>
      <c r="M51" s="92"/>
      <c r="N51" s="92">
        <f>INDEX(Ave_Calc!$A:$XFD,24,11)</f>
        <v>1.0935254082267856</v>
      </c>
      <c r="O51" s="92"/>
      <c r="P51" s="92">
        <f>INDEX(Ave_Calc!$A:$XFD,24,12)</f>
        <v>1.1759350448078656</v>
      </c>
      <c r="Q51" s="102"/>
      <c r="R51" s="23"/>
      <c r="S51" s="101">
        <f>INDEX(Ave_Calc!$A:$XFD,24,13)</f>
        <v>1.2073891899374471</v>
      </c>
      <c r="T51" s="92"/>
      <c r="U51" s="92">
        <f>INDEX(Ave_Calc!$A:$XFD,24,14)</f>
        <v>1.0970609426849092</v>
      </c>
      <c r="V51" s="92"/>
      <c r="W51" s="92">
        <f>INDEX(Ave_Calc!$A:$XFD,24,15)</f>
        <v>1.1879534356893386</v>
      </c>
      <c r="X51" s="67"/>
    </row>
    <row r="52" spans="1:24" ht="15" customHeight="1">
      <c r="A52" s="47" t="s">
        <v>98</v>
      </c>
      <c r="B52" s="93" t="s">
        <v>99</v>
      </c>
      <c r="C52" s="94"/>
      <c r="D52" s="22"/>
      <c r="E52" s="95">
        <f>INDEX(Ave_Calc!$A:$XFD,26,7)</f>
        <v>-0.0006464824653083444</v>
      </c>
      <c r="F52" s="96"/>
      <c r="G52" s="96"/>
      <c r="H52" s="96">
        <f>INDEX(Ave_Calc!$A:$XFD,26,8)</f>
        <v>1.2010007965251281</v>
      </c>
      <c r="I52" s="96"/>
      <c r="J52" s="97"/>
      <c r="K52" s="22"/>
      <c r="L52" s="95">
        <f>INDEX(Ave_Calc!$A:$XFD,26,10)</f>
        <v>-0.0005432989864288682</v>
      </c>
      <c r="M52" s="96"/>
      <c r="N52" s="96"/>
      <c r="O52" s="96">
        <f>INDEX(Ave_Calc!$A:$XFD,26,11)</f>
        <v>1.169371997721799</v>
      </c>
      <c r="P52" s="96"/>
      <c r="Q52" s="97"/>
      <c r="R52" s="23"/>
      <c r="S52" s="95">
        <f>INDEX(Ave_Calc!$A:$XFD,26,13)</f>
        <v>-0.0007525709053168713</v>
      </c>
      <c r="T52" s="96"/>
      <c r="U52" s="96"/>
      <c r="V52" s="96">
        <f>INDEX(Ave_Calc!$A:$XFD,26,14)</f>
        <v>1.260433294796012</v>
      </c>
      <c r="W52" s="96"/>
      <c r="X52" s="98"/>
    </row>
    <row r="53" spans="1:24" ht="15" customHeight="1" thickBot="1">
      <c r="A53" s="48" t="s">
        <v>117</v>
      </c>
      <c r="B53" s="90" t="s">
        <v>90</v>
      </c>
      <c r="C53" s="91"/>
      <c r="D53" s="22"/>
      <c r="E53" s="87">
        <f>INDEX(Ave_Calc!$A:$XFD,26,9)</f>
        <v>0.3875534210333453</v>
      </c>
      <c r="F53" s="88"/>
      <c r="G53" s="88"/>
      <c r="H53" s="85" t="str">
        <f>TEXT(LN(2)/ABS(LN(10^E52)),"#,##0")&amp;"d"&amp;"("&amp;TEXT(LN(2)/ABS(LN(10^E52))/365.26,"0.00")&amp;"y)"</f>
        <v>466d(1.27y)</v>
      </c>
      <c r="I53" s="85"/>
      <c r="J53" s="86"/>
      <c r="K53" s="22"/>
      <c r="L53" s="87">
        <f>INDEX(Ave_Calc!$A:$XFD,26,12)</f>
        <v>0.34510962321327093</v>
      </c>
      <c r="M53" s="88"/>
      <c r="N53" s="88"/>
      <c r="O53" s="85" t="str">
        <f>TEXT(LN(2)/ABS(LN(10^L52)),"#,##0")&amp;"d"&amp;"("&amp;TEXT(LN(2)/ABS(LN(10^L52))/365.26,"0.00")&amp;"y)"</f>
        <v>554d(1.52y)</v>
      </c>
      <c r="P53" s="85"/>
      <c r="Q53" s="86"/>
      <c r="R53" s="23"/>
      <c r="S53" s="87">
        <f>INDEX(Ave_Calc!$A:$XFD,26,15)</f>
        <v>0.5823025098487044</v>
      </c>
      <c r="T53" s="88"/>
      <c r="U53" s="88"/>
      <c r="V53" s="85" t="str">
        <f>TEXT(LN(2)/ABS(LN(10^S52)),"#,##0")&amp;"d"&amp;"("&amp;TEXT(LN(2)/ABS(LN(10^S52))/365.26,"0.00")&amp;"y)"</f>
        <v>400d(1.10y)</v>
      </c>
      <c r="W53" s="85"/>
      <c r="X53" s="89"/>
    </row>
    <row r="54" spans="1:25" ht="15" customHeight="1">
      <c r="A54" s="30"/>
      <c r="B54" s="30"/>
      <c r="C54" s="30"/>
      <c r="D54" s="24"/>
      <c r="E54" s="30"/>
      <c r="F54" s="30"/>
      <c r="G54" s="30"/>
      <c r="H54" s="30"/>
      <c r="I54" s="30"/>
      <c r="J54" s="30"/>
      <c r="K54" s="24"/>
      <c r="L54" s="30"/>
      <c r="M54" s="30"/>
      <c r="N54" s="30"/>
      <c r="O54" s="30"/>
      <c r="P54" s="30"/>
      <c r="Q54" s="30"/>
      <c r="R54" s="24"/>
      <c r="S54" s="30"/>
      <c r="T54" s="30"/>
      <c r="U54" s="30"/>
      <c r="V54" s="30"/>
      <c r="W54" s="30"/>
      <c r="X54" s="30"/>
      <c r="Y54" s="24"/>
    </row>
    <row r="55" spans="1:25" ht="15" customHeight="1">
      <c r="A55" s="31"/>
      <c r="B55" s="32" t="s">
        <v>111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3"/>
      <c r="Y55" s="24"/>
    </row>
    <row r="56" spans="1:25" ht="15" customHeight="1">
      <c r="A56" s="34"/>
      <c r="B56" s="35" t="s">
        <v>112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6"/>
      <c r="Y56" s="24"/>
    </row>
    <row r="57" spans="1:25" ht="15" customHeight="1">
      <c r="A57" s="34"/>
      <c r="B57" s="43" t="s">
        <v>113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6"/>
      <c r="Y57" s="24"/>
    </row>
    <row r="58" spans="1:25" ht="15" customHeight="1">
      <c r="A58" s="37"/>
      <c r="B58" s="44" t="s">
        <v>114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9"/>
      <c r="Y58" s="24"/>
    </row>
    <row r="59" spans="1:25" ht="15" customHeight="1">
      <c r="A59" s="40"/>
      <c r="B59" s="45" t="s">
        <v>115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2"/>
      <c r="Y59" s="24"/>
    </row>
    <row r="60" spans="1:25" ht="9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9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</sheetData>
  <mergeCells count="187">
    <mergeCell ref="U34:X34"/>
    <mergeCell ref="A40:B40"/>
    <mergeCell ref="A46:C46"/>
    <mergeCell ref="E46:F46"/>
    <mergeCell ref="G46:H46"/>
    <mergeCell ref="I46:J46"/>
    <mergeCell ref="L46:M46"/>
    <mergeCell ref="N46:O46"/>
    <mergeCell ref="P46:Q46"/>
    <mergeCell ref="S46:T46"/>
    <mergeCell ref="L13:M13"/>
    <mergeCell ref="B31:C31"/>
    <mergeCell ref="B32:C32"/>
    <mergeCell ref="B13:C13"/>
    <mergeCell ref="E13:F13"/>
    <mergeCell ref="E27:F27"/>
    <mergeCell ref="E30:F30"/>
    <mergeCell ref="I26:J26"/>
    <mergeCell ref="E31:G31"/>
    <mergeCell ref="A29:C29"/>
    <mergeCell ref="N13:Q13"/>
    <mergeCell ref="S13:T13"/>
    <mergeCell ref="U13:X13"/>
    <mergeCell ref="G30:H30"/>
    <mergeCell ref="G13:J13"/>
    <mergeCell ref="I30:J30"/>
    <mergeCell ref="G27:H27"/>
    <mergeCell ref="I27:J27"/>
    <mergeCell ref="L25:M25"/>
    <mergeCell ref="N25:O25"/>
    <mergeCell ref="O10:X10"/>
    <mergeCell ref="A10:B11"/>
    <mergeCell ref="M10:N10"/>
    <mergeCell ref="C10:L10"/>
    <mergeCell ref="C11:X11"/>
    <mergeCell ref="O9:X9"/>
    <mergeCell ref="O7:X7"/>
    <mergeCell ref="O8:X8"/>
    <mergeCell ref="M9:N9"/>
    <mergeCell ref="C9:L9"/>
    <mergeCell ref="A9:B9"/>
    <mergeCell ref="A8:B8"/>
    <mergeCell ref="A7:B7"/>
    <mergeCell ref="C7:L7"/>
    <mergeCell ref="C8:L8"/>
    <mergeCell ref="E28:F28"/>
    <mergeCell ref="E29:F29"/>
    <mergeCell ref="E32:G32"/>
    <mergeCell ref="A4:X5"/>
    <mergeCell ref="E25:F25"/>
    <mergeCell ref="G25:H25"/>
    <mergeCell ref="I25:J25"/>
    <mergeCell ref="M7:N7"/>
    <mergeCell ref="M8:N8"/>
    <mergeCell ref="O6:X6"/>
    <mergeCell ref="H31:J31"/>
    <mergeCell ref="H32:J32"/>
    <mergeCell ref="G28:H28"/>
    <mergeCell ref="I28:J28"/>
    <mergeCell ref="G29:H29"/>
    <mergeCell ref="I29:J29"/>
    <mergeCell ref="P30:Q30"/>
    <mergeCell ref="L27:M27"/>
    <mergeCell ref="N27:O27"/>
    <mergeCell ref="P27:Q27"/>
    <mergeCell ref="L28:M28"/>
    <mergeCell ref="N28:O28"/>
    <mergeCell ref="P28:Q28"/>
    <mergeCell ref="W26:X26"/>
    <mergeCell ref="L31:N31"/>
    <mergeCell ref="O31:Q31"/>
    <mergeCell ref="L32:N32"/>
    <mergeCell ref="O32:Q32"/>
    <mergeCell ref="L29:M29"/>
    <mergeCell ref="N29:O29"/>
    <mergeCell ref="P29:Q29"/>
    <mergeCell ref="L30:M30"/>
    <mergeCell ref="N30:O30"/>
    <mergeCell ref="S32:U32"/>
    <mergeCell ref="V32:X32"/>
    <mergeCell ref="S29:T29"/>
    <mergeCell ref="U29:V29"/>
    <mergeCell ref="W29:X29"/>
    <mergeCell ref="S30:T30"/>
    <mergeCell ref="U30:V30"/>
    <mergeCell ref="W30:X30"/>
    <mergeCell ref="S31:U31"/>
    <mergeCell ref="V31:X31"/>
    <mergeCell ref="S27:T27"/>
    <mergeCell ref="U27:V27"/>
    <mergeCell ref="W27:X27"/>
    <mergeCell ref="S28:T28"/>
    <mergeCell ref="U28:V28"/>
    <mergeCell ref="W28:X28"/>
    <mergeCell ref="S25:T25"/>
    <mergeCell ref="U25:V25"/>
    <mergeCell ref="A27:C27"/>
    <mergeCell ref="A28:C28"/>
    <mergeCell ref="P25:Q25"/>
    <mergeCell ref="L26:M26"/>
    <mergeCell ref="N26:O26"/>
    <mergeCell ref="P26:Q26"/>
    <mergeCell ref="E26:F26"/>
    <mergeCell ref="G26:H26"/>
    <mergeCell ref="W25:X25"/>
    <mergeCell ref="S26:T26"/>
    <mergeCell ref="U26:V26"/>
    <mergeCell ref="B34:C34"/>
    <mergeCell ref="E34:F34"/>
    <mergeCell ref="G34:J34"/>
    <mergeCell ref="L34:M34"/>
    <mergeCell ref="N34:Q34"/>
    <mergeCell ref="S34:T34"/>
    <mergeCell ref="A26:C26"/>
    <mergeCell ref="U46:V46"/>
    <mergeCell ref="W46:X46"/>
    <mergeCell ref="A47:C47"/>
    <mergeCell ref="E47:F47"/>
    <mergeCell ref="G47:H47"/>
    <mergeCell ref="I47:J47"/>
    <mergeCell ref="L47:M47"/>
    <mergeCell ref="N47:O47"/>
    <mergeCell ref="P47:Q47"/>
    <mergeCell ref="S47:T47"/>
    <mergeCell ref="U47:V47"/>
    <mergeCell ref="W47:X47"/>
    <mergeCell ref="A48:C48"/>
    <mergeCell ref="E48:F48"/>
    <mergeCell ref="G48:H48"/>
    <mergeCell ref="I48:J48"/>
    <mergeCell ref="L48:M48"/>
    <mergeCell ref="N48:O48"/>
    <mergeCell ref="P48:Q48"/>
    <mergeCell ref="S48:T48"/>
    <mergeCell ref="U48:V48"/>
    <mergeCell ref="W48:X48"/>
    <mergeCell ref="A49:C49"/>
    <mergeCell ref="E49:F49"/>
    <mergeCell ref="G49:H49"/>
    <mergeCell ref="I49:J49"/>
    <mergeCell ref="L49:M49"/>
    <mergeCell ref="N49:O49"/>
    <mergeCell ref="P49:Q49"/>
    <mergeCell ref="S49:T49"/>
    <mergeCell ref="U49:V49"/>
    <mergeCell ref="W49:X49"/>
    <mergeCell ref="A50:C50"/>
    <mergeCell ref="E50:F50"/>
    <mergeCell ref="G50:H50"/>
    <mergeCell ref="I50:J50"/>
    <mergeCell ref="L50:M50"/>
    <mergeCell ref="N50:O50"/>
    <mergeCell ref="P50:Q50"/>
    <mergeCell ref="S50:T50"/>
    <mergeCell ref="U50:V50"/>
    <mergeCell ref="W50:X50"/>
    <mergeCell ref="A51:C51"/>
    <mergeCell ref="E51:F51"/>
    <mergeCell ref="G51:H51"/>
    <mergeCell ref="I51:J51"/>
    <mergeCell ref="L51:M51"/>
    <mergeCell ref="N51:O51"/>
    <mergeCell ref="P51:Q51"/>
    <mergeCell ref="S51:T51"/>
    <mergeCell ref="U51:V51"/>
    <mergeCell ref="W51:X51"/>
    <mergeCell ref="B52:C52"/>
    <mergeCell ref="E52:G52"/>
    <mergeCell ref="H52:J52"/>
    <mergeCell ref="L52:N52"/>
    <mergeCell ref="O52:Q52"/>
    <mergeCell ref="S52:U52"/>
    <mergeCell ref="V52:X52"/>
    <mergeCell ref="O53:Q53"/>
    <mergeCell ref="S53:U53"/>
    <mergeCell ref="V53:X53"/>
    <mergeCell ref="B53:C53"/>
    <mergeCell ref="E53:G53"/>
    <mergeCell ref="H53:J53"/>
    <mergeCell ref="L53:N53"/>
    <mergeCell ref="C38:C45"/>
    <mergeCell ref="C17:C24"/>
    <mergeCell ref="A14:C16"/>
    <mergeCell ref="A35:C37"/>
    <mergeCell ref="A25:C25"/>
    <mergeCell ref="A19:B19"/>
    <mergeCell ref="A30:C30"/>
  </mergeCells>
  <printOptions horizontalCentered="1" verticalCentered="1"/>
  <pageMargins left="0.3937007874015748" right="0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25" width="3.75390625" style="2" customWidth="1"/>
    <col min="26" max="16384" width="9.00390625" style="2" customWidth="1"/>
  </cols>
  <sheetData>
    <row r="1" ht="15" customHeight="1">
      <c r="E1" s="21">
        <f>COUNT('測定結果'!$4:$4)+5</f>
        <v>14</v>
      </c>
    </row>
    <row r="2" ht="4.5" customHeight="1"/>
    <row r="3" ht="9.75" customHeight="1"/>
    <row r="4" spans="1:24" ht="14.25" customHeight="1">
      <c r="A4" s="139" t="s">
        <v>38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4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5:24" ht="15" customHeight="1" thickBot="1">
      <c r="O6" s="145"/>
      <c r="P6" s="145"/>
      <c r="Q6" s="145"/>
      <c r="R6" s="145"/>
      <c r="S6" s="145"/>
      <c r="T6" s="145"/>
      <c r="U6" s="145"/>
      <c r="V6" s="145"/>
      <c r="W6" s="145"/>
      <c r="X6" s="145"/>
    </row>
    <row r="7" spans="1:24" ht="15" customHeight="1">
      <c r="A7" s="152" t="s">
        <v>10</v>
      </c>
      <c r="B7" s="142"/>
      <c r="C7" s="153" t="s">
        <v>116</v>
      </c>
      <c r="D7" s="154"/>
      <c r="E7" s="154"/>
      <c r="F7" s="154"/>
      <c r="G7" s="154"/>
      <c r="H7" s="154"/>
      <c r="I7" s="154"/>
      <c r="J7" s="154"/>
      <c r="K7" s="154"/>
      <c r="L7" s="155"/>
      <c r="M7" s="141" t="s">
        <v>3</v>
      </c>
      <c r="N7" s="142"/>
      <c r="O7" s="162" t="str">
        <f>IF(INDEX('測定結果'!$A:$XFD,4,E$1)=0,""," "&amp;TEXT(INDEX('測定結果'!$A:$XFD,4,$E$1),"平成ee年m月d日(aaa)"))</f>
        <v> 平成24年5月26日(土)</v>
      </c>
      <c r="P7" s="162"/>
      <c r="Q7" s="162"/>
      <c r="R7" s="162"/>
      <c r="S7" s="162"/>
      <c r="T7" s="162"/>
      <c r="U7" s="162"/>
      <c r="V7" s="162"/>
      <c r="W7" s="162"/>
      <c r="X7" s="163"/>
    </row>
    <row r="8" spans="1:24" ht="15" customHeight="1">
      <c r="A8" s="151" t="s">
        <v>8</v>
      </c>
      <c r="B8" s="144"/>
      <c r="C8" s="156" t="s">
        <v>34</v>
      </c>
      <c r="D8" s="157"/>
      <c r="E8" s="157"/>
      <c r="F8" s="157"/>
      <c r="G8" s="157"/>
      <c r="H8" s="157"/>
      <c r="I8" s="157"/>
      <c r="J8" s="157"/>
      <c r="K8" s="157"/>
      <c r="L8" s="158"/>
      <c r="M8" s="143" t="s">
        <v>4</v>
      </c>
      <c r="N8" s="144"/>
      <c r="O8" s="159" t="str">
        <f>IF(INDEX('測定結果'!$A:$XFD,5,E$1)=0,"",INDEX('測定結果'!$A:$XFD,5,$E$1))</f>
        <v> 11:20～11:40</v>
      </c>
      <c r="P8" s="160"/>
      <c r="Q8" s="160"/>
      <c r="R8" s="160"/>
      <c r="S8" s="160"/>
      <c r="T8" s="160"/>
      <c r="U8" s="160"/>
      <c r="V8" s="160"/>
      <c r="W8" s="160"/>
      <c r="X8" s="161"/>
    </row>
    <row r="9" spans="1:24" ht="15" customHeight="1">
      <c r="A9" s="149" t="s">
        <v>6</v>
      </c>
      <c r="B9" s="150"/>
      <c r="C9" s="146" t="s">
        <v>116</v>
      </c>
      <c r="D9" s="147"/>
      <c r="E9" s="147"/>
      <c r="F9" s="147"/>
      <c r="G9" s="147"/>
      <c r="H9" s="147"/>
      <c r="I9" s="147"/>
      <c r="J9" s="147"/>
      <c r="K9" s="147"/>
      <c r="L9" s="148"/>
      <c r="M9" s="143" t="s">
        <v>7</v>
      </c>
      <c r="N9" s="144"/>
      <c r="O9" s="159" t="str">
        <f>IF(INDEX('測定結果'!$A:$XFD,6,E$1)=0,"",INDEX('測定結果'!$A:$XFD,6,$E$1))&amp;"・ゆーみん"</f>
        <v>きなやん・ゆーみん</v>
      </c>
      <c r="P9" s="160"/>
      <c r="Q9" s="160"/>
      <c r="R9" s="160"/>
      <c r="S9" s="160"/>
      <c r="T9" s="160"/>
      <c r="U9" s="160"/>
      <c r="V9" s="160"/>
      <c r="W9" s="160"/>
      <c r="X9" s="161"/>
    </row>
    <row r="10" spans="1:24" ht="15" customHeight="1">
      <c r="A10" s="166" t="s">
        <v>5</v>
      </c>
      <c r="B10" s="167"/>
      <c r="C10" s="171" t="str">
        <f>IF(INDEX('測定結果'!$A:$XFD,2,E$1)=0,""," "&amp;INDEX('測定結果'!$A:$XFD,2,E$1))&amp;IF(INDEX('測定結果'!$A:$XFD,3,E$1)=0,"","、"&amp;INDEX('測定結果'!$A:$XFD,2,E$1))</f>
        <v> Polimaster PM-1610</v>
      </c>
      <c r="D10" s="172"/>
      <c r="E10" s="172"/>
      <c r="F10" s="172"/>
      <c r="G10" s="172"/>
      <c r="H10" s="172"/>
      <c r="I10" s="172"/>
      <c r="J10" s="172"/>
      <c r="K10" s="172"/>
      <c r="L10" s="173"/>
      <c r="M10" s="170" t="s">
        <v>9</v>
      </c>
      <c r="N10" s="150"/>
      <c r="O10" s="164" t="str">
        <f>IF(INDEX('測定結果'!$A:$XFD,7,E$1)=0,"",INDEX('測定結果'!$A:$XFD,7,$E$1))</f>
        <v>xls-hashimoto</v>
      </c>
      <c r="P10" s="147"/>
      <c r="Q10" s="147"/>
      <c r="R10" s="147"/>
      <c r="S10" s="147"/>
      <c r="T10" s="147"/>
      <c r="U10" s="147"/>
      <c r="V10" s="147"/>
      <c r="W10" s="147"/>
      <c r="X10" s="165"/>
    </row>
    <row r="11" spans="1:24" ht="15" customHeight="1" thickBot="1">
      <c r="A11" s="168"/>
      <c r="B11" s="169"/>
      <c r="C11" s="174" t="str">
        <f>" ※Polimaster PM-1610は、㈱ﾗﾄﾞ･ｿﾘｭｰｼｮﾝｽﾞ（022-342-8727）の提供協力品です。"</f>
        <v> ※Polimaster PM-1610は、㈱ﾗﾄﾞ･ｿﾘｭｰｼｮﾝｽﾞ（022-342-8727）の提供協力品です。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7"/>
    </row>
    <row r="12" spans="1:24" ht="15" customHeight="1" thickBot="1">
      <c r="A12" s="13"/>
      <c r="B12" s="13"/>
      <c r="C12" s="13"/>
      <c r="X12" s="13"/>
    </row>
    <row r="13" spans="1:24" ht="15" customHeight="1">
      <c r="A13" s="64"/>
      <c r="B13" s="65"/>
      <c r="C13" s="66"/>
      <c r="D13" s="230">
        <v>100</v>
      </c>
      <c r="E13" s="23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56"/>
    </row>
    <row r="14" spans="1:24" ht="15" customHeight="1">
      <c r="A14" s="74" t="s">
        <v>109</v>
      </c>
      <c r="B14" s="75"/>
      <c r="C14" s="76"/>
      <c r="D14" s="55"/>
      <c r="E14" s="5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</row>
    <row r="15" spans="1:24" ht="15" customHeight="1">
      <c r="A15" s="74"/>
      <c r="B15" s="75"/>
      <c r="C15" s="76"/>
      <c r="D15" s="55"/>
      <c r="E15" s="5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</row>
    <row r="16" spans="1:24" ht="15" customHeight="1">
      <c r="A16" s="74"/>
      <c r="B16" s="75"/>
      <c r="C16" s="76"/>
      <c r="D16" s="232">
        <v>10</v>
      </c>
      <c r="E16" s="23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</row>
    <row r="17" spans="1:24" ht="15" customHeight="1">
      <c r="A17" s="49"/>
      <c r="B17" s="50"/>
      <c r="C17" s="52"/>
      <c r="D17" s="232"/>
      <c r="E17" s="23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</row>
    <row r="18" spans="1:24" ht="15" customHeight="1">
      <c r="A18" s="49"/>
      <c r="B18" s="50"/>
      <c r="C18" s="52"/>
      <c r="D18" s="55"/>
      <c r="E18" s="5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</row>
    <row r="19" spans="1:24" ht="15" customHeight="1">
      <c r="A19" s="49"/>
      <c r="B19" s="50"/>
      <c r="C19" s="52"/>
      <c r="D19" s="55"/>
      <c r="E19" s="5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</row>
    <row r="20" spans="1:24" ht="15" customHeight="1">
      <c r="A20" s="180" t="s">
        <v>103</v>
      </c>
      <c r="B20" s="181"/>
      <c r="C20" s="182"/>
      <c r="D20" s="232">
        <v>1</v>
      </c>
      <c r="E20" s="23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</row>
    <row r="21" spans="1:24" ht="15" customHeight="1">
      <c r="A21" s="49"/>
      <c r="B21" s="50"/>
      <c r="C21" s="52"/>
      <c r="D21" s="54"/>
      <c r="E21" s="5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</row>
    <row r="22" spans="1:24" ht="15" customHeight="1">
      <c r="A22" s="49"/>
      <c r="B22" s="50"/>
      <c r="C22" s="52"/>
      <c r="D22" s="55"/>
      <c r="E22" s="5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</row>
    <row r="23" spans="1:24" ht="15" customHeight="1">
      <c r="A23" s="49"/>
      <c r="B23" s="50"/>
      <c r="C23" s="52"/>
      <c r="D23" s="234" t="s">
        <v>136</v>
      </c>
      <c r="E23" s="23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</row>
    <row r="24" spans="1:24" ht="15" customHeight="1">
      <c r="A24" s="49"/>
      <c r="B24" s="50"/>
      <c r="C24" s="52"/>
      <c r="D24" s="236"/>
      <c r="E24" s="23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</row>
    <row r="25" spans="1:24" ht="15" customHeight="1">
      <c r="A25" s="49"/>
      <c r="B25" s="50"/>
      <c r="C25" s="52"/>
      <c r="D25" s="236"/>
      <c r="E25" s="23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58"/>
    </row>
    <row r="26" spans="1:24" ht="15" customHeight="1">
      <c r="A26" s="49"/>
      <c r="B26" s="50"/>
      <c r="C26" s="52"/>
      <c r="D26" s="55"/>
      <c r="E26" s="5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58"/>
    </row>
    <row r="27" spans="1:24" ht="15" customHeight="1">
      <c r="A27" s="49"/>
      <c r="B27" s="50"/>
      <c r="C27" s="52"/>
      <c r="D27" s="237">
        <v>0.01</v>
      </c>
      <c r="E27" s="238"/>
      <c r="F27" s="63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8"/>
    </row>
    <row r="28" spans="1:24" ht="15" customHeight="1">
      <c r="A28" s="49"/>
      <c r="B28" s="50"/>
      <c r="C28" s="52"/>
      <c r="D28" s="59"/>
      <c r="E28" s="24"/>
      <c r="F28" s="62">
        <v>1</v>
      </c>
      <c r="G28" s="62">
        <v>2</v>
      </c>
      <c r="H28" s="62">
        <v>3</v>
      </c>
      <c r="I28" s="62">
        <v>4</v>
      </c>
      <c r="J28" s="62">
        <v>5</v>
      </c>
      <c r="K28" s="62">
        <v>6</v>
      </c>
      <c r="L28" s="62">
        <v>7</v>
      </c>
      <c r="M28" s="62">
        <v>8</v>
      </c>
      <c r="N28" s="62">
        <v>9</v>
      </c>
      <c r="O28" s="62">
        <v>10</v>
      </c>
      <c r="P28" s="62">
        <v>11</v>
      </c>
      <c r="Q28" s="62">
        <v>12</v>
      </c>
      <c r="R28" s="62">
        <v>13</v>
      </c>
      <c r="S28" s="62">
        <v>14</v>
      </c>
      <c r="T28" s="62">
        <v>15</v>
      </c>
      <c r="U28" s="62">
        <v>16</v>
      </c>
      <c r="V28" s="62">
        <v>17</v>
      </c>
      <c r="W28" s="62">
        <v>18</v>
      </c>
      <c r="X28" s="239" t="s">
        <v>137</v>
      </c>
    </row>
    <row r="29" spans="1:24" ht="15" customHeight="1">
      <c r="A29" s="49"/>
      <c r="B29" s="50"/>
      <c r="C29" s="52"/>
      <c r="D29" s="196" t="s">
        <v>96</v>
      </c>
      <c r="E29" s="197"/>
      <c r="F29" s="195" t="s">
        <v>119</v>
      </c>
      <c r="G29" s="193"/>
      <c r="H29" s="193"/>
      <c r="I29" s="193" t="s">
        <v>99</v>
      </c>
      <c r="J29" s="193"/>
      <c r="K29" s="193"/>
      <c r="L29" s="193" t="s">
        <v>120</v>
      </c>
      <c r="M29" s="193"/>
      <c r="N29" s="194"/>
      <c r="O29" s="191" t="s">
        <v>90</v>
      </c>
      <c r="P29" s="191"/>
      <c r="Q29" s="192"/>
      <c r="R29" s="190">
        <v>40613</v>
      </c>
      <c r="S29" s="190"/>
      <c r="T29" s="190"/>
      <c r="U29" s="187">
        <v>0.05</v>
      </c>
      <c r="V29" s="188"/>
      <c r="W29" s="188"/>
      <c r="X29" s="189"/>
    </row>
    <row r="30" spans="1:24" ht="15" customHeight="1">
      <c r="A30" s="49"/>
      <c r="B30" s="50"/>
      <c r="C30" s="52"/>
      <c r="D30" s="185" t="s">
        <v>28</v>
      </c>
      <c r="E30" s="186"/>
      <c r="F30" s="183">
        <f>INDEX(Ave_Calc!$A:$XFD,42,13)</f>
        <v>-0.0005239707144049611</v>
      </c>
      <c r="G30" s="184"/>
      <c r="H30" s="184"/>
      <c r="I30" s="184">
        <f>INDEX(Ave_Calc!$A:$XFD,42,14)</f>
        <v>1.2068582758855488</v>
      </c>
      <c r="J30" s="184"/>
      <c r="K30" s="184"/>
      <c r="L30" s="184">
        <f>INDEX(Ave_Calc!$A:$XFD,42,15)</f>
        <v>0.9580023410937831</v>
      </c>
      <c r="M30" s="184"/>
      <c r="N30" s="200"/>
      <c r="O30" s="199" t="str">
        <f>TEXT(LN(2)/ABS(LN(10^F30)),"#,##0")&amp;"d"&amp;"("&amp;TEXT(LN(2)/ABS(LN(10^F30))/365.26,"0.00")&amp;"y)"</f>
        <v>575d(1.57y)</v>
      </c>
      <c r="P30" s="199"/>
      <c r="Q30" s="199"/>
      <c r="R30" s="198">
        <f>10^I30</f>
        <v>16.101201159869067</v>
      </c>
      <c r="S30" s="198"/>
      <c r="T30" s="198"/>
      <c r="U30" s="219">
        <f>(LOG($U$29)-$I30)/$F30</f>
        <v>4786.313819843105</v>
      </c>
      <c r="V30" s="220"/>
      <c r="W30" s="225">
        <f>(LOG($U$29)-$I30)/$F30/365.26</f>
        <v>13.103854295140737</v>
      </c>
      <c r="X30" s="226"/>
    </row>
    <row r="31" spans="1:24" ht="15" customHeight="1">
      <c r="A31" s="49"/>
      <c r="B31" s="50"/>
      <c r="C31" s="52"/>
      <c r="D31" s="214" t="s">
        <v>27</v>
      </c>
      <c r="E31" s="215"/>
      <c r="F31" s="213">
        <f>INDEX(Ave_Calc!$A:$XFD,42,10)</f>
        <v>-0.00046398600533555025</v>
      </c>
      <c r="G31" s="211"/>
      <c r="H31" s="211"/>
      <c r="I31" s="211">
        <f>INDEX(Ave_Calc!$A:$XFD,42,11)</f>
        <v>1.1777815761006116</v>
      </c>
      <c r="J31" s="211"/>
      <c r="K31" s="211"/>
      <c r="L31" s="211">
        <f>INDEX(Ave_Calc!$A:$XFD,42,12)</f>
        <v>0.9896217894790068</v>
      </c>
      <c r="M31" s="211"/>
      <c r="N31" s="212"/>
      <c r="O31" s="210" t="str">
        <f>TEXT(LN(2)/ABS(LN(10^F31)),"#,##0")&amp;"d"&amp;"("&amp;TEXT(LN(2)/ABS(LN(10^F31))/365.26,"0.00")&amp;"y)"</f>
        <v>649d(1.78y)</v>
      </c>
      <c r="P31" s="210"/>
      <c r="Q31" s="210"/>
      <c r="R31" s="209">
        <f>10^I31</f>
        <v>15.058495243242668</v>
      </c>
      <c r="S31" s="209"/>
      <c r="T31" s="209"/>
      <c r="U31" s="207">
        <f>(LOG($U$29)-$I31)/$F31</f>
        <v>5342.427450957147</v>
      </c>
      <c r="V31" s="208"/>
      <c r="W31" s="205">
        <f>(LOG($U$29)-$I31)/$F31/365.26</f>
        <v>14.62636875364712</v>
      </c>
      <c r="X31" s="206"/>
    </row>
    <row r="32" spans="1:24" ht="15" customHeight="1" thickBot="1">
      <c r="A32" s="60"/>
      <c r="B32" s="61"/>
      <c r="C32" s="53"/>
      <c r="D32" s="203" t="s">
        <v>105</v>
      </c>
      <c r="E32" s="204"/>
      <c r="F32" s="201">
        <f>INDEX(Ave_Calc!$A:$XFD,42,7)</f>
        <v>-0.0005385198780728403</v>
      </c>
      <c r="G32" s="202"/>
      <c r="H32" s="202"/>
      <c r="I32" s="202">
        <f>INDEX(Ave_Calc!$A:$XFD,42,8)</f>
        <v>1.2016986618451517</v>
      </c>
      <c r="J32" s="202"/>
      <c r="K32" s="202"/>
      <c r="L32" s="202">
        <f>INDEX(Ave_Calc!$A:$XFD,42,9)</f>
        <v>0.9996718590810414</v>
      </c>
      <c r="M32" s="202"/>
      <c r="N32" s="216"/>
      <c r="O32" s="217" t="str">
        <f>TEXT(LN(2)/ABS(LN(10^F32)),"#,##0")&amp;"d"&amp;"("&amp;TEXT(LN(2)/ABS(LN(10^F32))/365.26,"0.00")&amp;"y)"</f>
        <v>559d(1.53y)</v>
      </c>
      <c r="P32" s="217"/>
      <c r="Q32" s="217"/>
      <c r="R32" s="218">
        <f>10^I32</f>
        <v>15.91104345474768</v>
      </c>
      <c r="S32" s="218"/>
      <c r="T32" s="218"/>
      <c r="U32" s="223">
        <f>(LOG($U$29)-$I32)/$F32</f>
        <v>4647.421124853284</v>
      </c>
      <c r="V32" s="224"/>
      <c r="W32" s="221">
        <f>(LOG($U$29)-$I32)/$F32/365.26</f>
        <v>12.72359723170696</v>
      </c>
      <c r="X32" s="222"/>
    </row>
    <row r="33" spans="1:24" ht="15" customHeight="1" thickBot="1">
      <c r="A33" s="13"/>
      <c r="B33" s="13"/>
      <c r="C33" s="13"/>
      <c r="X33" s="13"/>
    </row>
    <row r="34" spans="1:24" ht="15" customHeight="1">
      <c r="A34" s="64"/>
      <c r="B34" s="65"/>
      <c r="C34" s="66"/>
      <c r="D34" s="230">
        <v>100</v>
      </c>
      <c r="E34" s="2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56"/>
    </row>
    <row r="35" spans="1:24" ht="15" customHeight="1">
      <c r="A35" s="74" t="s">
        <v>110</v>
      </c>
      <c r="B35" s="75"/>
      <c r="C35" s="76"/>
      <c r="D35" s="55"/>
      <c r="E35" s="57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1:24" ht="15" customHeight="1">
      <c r="A36" s="74"/>
      <c r="B36" s="75"/>
      <c r="C36" s="76"/>
      <c r="D36" s="55"/>
      <c r="E36" s="57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15" customHeight="1">
      <c r="A37" s="74"/>
      <c r="B37" s="75"/>
      <c r="C37" s="76"/>
      <c r="D37" s="232">
        <v>10</v>
      </c>
      <c r="E37" s="23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</row>
    <row r="38" spans="1:24" ht="15" customHeight="1">
      <c r="A38" s="49"/>
      <c r="B38" s="50"/>
      <c r="C38" s="52"/>
      <c r="D38" s="232"/>
      <c r="E38" s="23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5"/>
    </row>
    <row r="39" spans="1:24" ht="15" customHeight="1">
      <c r="A39" s="49"/>
      <c r="B39" s="50"/>
      <c r="C39" s="52"/>
      <c r="D39" s="55"/>
      <c r="E39" s="5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</row>
    <row r="40" spans="1:24" ht="15" customHeight="1">
      <c r="A40" s="49"/>
      <c r="B40" s="50"/>
      <c r="C40" s="52"/>
      <c r="D40" s="55"/>
      <c r="E40" s="5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</row>
    <row r="41" spans="1:24" ht="15" customHeight="1">
      <c r="A41" s="180" t="s">
        <v>103</v>
      </c>
      <c r="B41" s="181"/>
      <c r="C41" s="182"/>
      <c r="D41" s="232">
        <v>1</v>
      </c>
      <c r="E41" s="23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</row>
    <row r="42" spans="1:24" ht="15" customHeight="1">
      <c r="A42" s="49"/>
      <c r="B42" s="50"/>
      <c r="C42" s="52"/>
      <c r="D42" s="54"/>
      <c r="E42" s="57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5"/>
    </row>
    <row r="43" spans="1:24" ht="15" customHeight="1">
      <c r="A43" s="49"/>
      <c r="B43" s="50"/>
      <c r="C43" s="52"/>
      <c r="D43" s="55"/>
      <c r="E43" s="5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5"/>
    </row>
    <row r="44" spans="1:24" ht="15" customHeight="1">
      <c r="A44" s="49"/>
      <c r="B44" s="50"/>
      <c r="C44" s="52"/>
      <c r="D44" s="234" t="s">
        <v>136</v>
      </c>
      <c r="E44" s="23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5"/>
    </row>
    <row r="45" spans="1:24" ht="15" customHeight="1">
      <c r="A45" s="49"/>
      <c r="B45" s="50"/>
      <c r="C45" s="52"/>
      <c r="D45" s="236"/>
      <c r="E45" s="23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5"/>
    </row>
    <row r="46" spans="1:24" ht="15" customHeight="1">
      <c r="A46" s="49"/>
      <c r="B46" s="50"/>
      <c r="C46" s="52"/>
      <c r="D46" s="236"/>
      <c r="E46" s="23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58"/>
    </row>
    <row r="47" spans="1:24" ht="15" customHeight="1">
      <c r="A47" s="49"/>
      <c r="B47" s="50"/>
      <c r="C47" s="52"/>
      <c r="D47" s="55"/>
      <c r="E47" s="5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</row>
    <row r="48" spans="1:24" ht="15" customHeight="1">
      <c r="A48" s="49"/>
      <c r="B48" s="50"/>
      <c r="C48" s="52"/>
      <c r="D48" s="237">
        <v>0.01</v>
      </c>
      <c r="E48" s="238"/>
      <c r="F48" s="63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8"/>
    </row>
    <row r="49" spans="1:24" ht="15" customHeight="1">
      <c r="A49" s="49"/>
      <c r="B49" s="50"/>
      <c r="C49" s="52"/>
      <c r="D49" s="59"/>
      <c r="E49" s="24"/>
      <c r="F49" s="62">
        <v>1</v>
      </c>
      <c r="G49" s="62">
        <v>2</v>
      </c>
      <c r="H49" s="62">
        <v>3</v>
      </c>
      <c r="I49" s="62">
        <v>4</v>
      </c>
      <c r="J49" s="62">
        <v>5</v>
      </c>
      <c r="K49" s="62">
        <v>6</v>
      </c>
      <c r="L49" s="62">
        <v>7</v>
      </c>
      <c r="M49" s="62">
        <v>8</v>
      </c>
      <c r="N49" s="62">
        <v>9</v>
      </c>
      <c r="O49" s="62">
        <v>10</v>
      </c>
      <c r="P49" s="62">
        <v>11</v>
      </c>
      <c r="Q49" s="62">
        <v>12</v>
      </c>
      <c r="R49" s="62">
        <v>13</v>
      </c>
      <c r="S49" s="62">
        <v>14</v>
      </c>
      <c r="T49" s="62">
        <v>15</v>
      </c>
      <c r="U49" s="62">
        <v>16</v>
      </c>
      <c r="V49" s="62">
        <v>17</v>
      </c>
      <c r="W49" s="62">
        <v>18</v>
      </c>
      <c r="X49" s="239" t="s">
        <v>137</v>
      </c>
    </row>
    <row r="50" spans="1:24" ht="15" customHeight="1">
      <c r="A50" s="49"/>
      <c r="B50" s="50"/>
      <c r="C50" s="52"/>
      <c r="D50" s="196" t="s">
        <v>96</v>
      </c>
      <c r="E50" s="197"/>
      <c r="F50" s="195" t="s">
        <v>119</v>
      </c>
      <c r="G50" s="193"/>
      <c r="H50" s="193"/>
      <c r="I50" s="193" t="s">
        <v>99</v>
      </c>
      <c r="J50" s="193"/>
      <c r="K50" s="193"/>
      <c r="L50" s="193" t="s">
        <v>120</v>
      </c>
      <c r="M50" s="193"/>
      <c r="N50" s="194"/>
      <c r="O50" s="191" t="s">
        <v>90</v>
      </c>
      <c r="P50" s="191"/>
      <c r="Q50" s="192"/>
      <c r="R50" s="190">
        <v>40613</v>
      </c>
      <c r="S50" s="190"/>
      <c r="T50" s="190"/>
      <c r="U50" s="187">
        <v>0.05</v>
      </c>
      <c r="V50" s="188"/>
      <c r="W50" s="188"/>
      <c r="X50" s="189"/>
    </row>
    <row r="51" spans="1:24" ht="15" customHeight="1">
      <c r="A51" s="49"/>
      <c r="B51" s="50"/>
      <c r="C51" s="52"/>
      <c r="D51" s="185" t="s">
        <v>28</v>
      </c>
      <c r="E51" s="186"/>
      <c r="F51" s="183">
        <f>INDEX(Ave_Calc!$A:$XFD,26,13)</f>
        <v>-0.0007525709053168713</v>
      </c>
      <c r="G51" s="184"/>
      <c r="H51" s="184"/>
      <c r="I51" s="184">
        <f>INDEX(Ave_Calc!$A:$XFD,26,14)</f>
        <v>1.260433294796012</v>
      </c>
      <c r="J51" s="184"/>
      <c r="K51" s="184"/>
      <c r="L51" s="184">
        <f>INDEX(Ave_Calc!$A:$XFD,26,15)</f>
        <v>0.5823025098487044</v>
      </c>
      <c r="M51" s="184"/>
      <c r="N51" s="200"/>
      <c r="O51" s="199" t="str">
        <f>TEXT(LN(2)/ABS(LN(10^F51)),"#,##0")&amp;"d"&amp;"("&amp;TEXT(LN(2)/ABS(LN(10^F51))/365.26,"0.00")&amp;"y)"</f>
        <v>400d(1.10y)</v>
      </c>
      <c r="P51" s="199"/>
      <c r="Q51" s="199"/>
      <c r="R51" s="198">
        <f>10^I51</f>
        <v>18.21517276736463</v>
      </c>
      <c r="S51" s="198"/>
      <c r="T51" s="198"/>
      <c r="U51" s="219">
        <f>(LOG($U$29)-$I51)/$F51</f>
        <v>3403.617217146449</v>
      </c>
      <c r="V51" s="220"/>
      <c r="W51" s="225">
        <f>(LOG($U$29)-$I51)/$F51/365.26</f>
        <v>9.3183409547896</v>
      </c>
      <c r="X51" s="226"/>
    </row>
    <row r="52" spans="1:24" ht="15" customHeight="1">
      <c r="A52" s="49"/>
      <c r="B52" s="50"/>
      <c r="C52" s="52"/>
      <c r="D52" s="214" t="s">
        <v>27</v>
      </c>
      <c r="E52" s="215"/>
      <c r="F52" s="213">
        <f>INDEX(Ave_Calc!$A:$XFD,26,10)</f>
        <v>-0.0005432989864288682</v>
      </c>
      <c r="G52" s="211"/>
      <c r="H52" s="211"/>
      <c r="I52" s="211">
        <f>INDEX(Ave_Calc!$A:$XFD,26,11)</f>
        <v>1.169371997721799</v>
      </c>
      <c r="J52" s="211"/>
      <c r="K52" s="211"/>
      <c r="L52" s="211">
        <f>INDEX(Ave_Calc!$A:$XFD,26,12)</f>
        <v>0.34510962321327093</v>
      </c>
      <c r="M52" s="211"/>
      <c r="N52" s="212"/>
      <c r="O52" s="210" t="str">
        <f>TEXT(LN(2)/ABS(LN(10^F52)),"#,##0")&amp;"d"&amp;"("&amp;TEXT(LN(2)/ABS(LN(10^F52))/365.26,"0.00")&amp;"y)"</f>
        <v>554d(1.52y)</v>
      </c>
      <c r="P52" s="210"/>
      <c r="Q52" s="210"/>
      <c r="R52" s="209">
        <f>10^I52</f>
        <v>14.769711006738799</v>
      </c>
      <c r="S52" s="209"/>
      <c r="T52" s="209"/>
      <c r="U52" s="207">
        <f>(LOG($U$29)-$I52)/$F52</f>
        <v>4547.039576907474</v>
      </c>
      <c r="V52" s="208"/>
      <c r="W52" s="205">
        <f>(LOG($U$29)-$I52)/$F52/365.26</f>
        <v>12.448775055871089</v>
      </c>
      <c r="X52" s="206"/>
    </row>
    <row r="53" spans="1:24" ht="15" customHeight="1" thickBot="1">
      <c r="A53" s="60"/>
      <c r="B53" s="61"/>
      <c r="C53" s="53"/>
      <c r="D53" s="203" t="s">
        <v>105</v>
      </c>
      <c r="E53" s="204"/>
      <c r="F53" s="201">
        <f>INDEX(Ave_Calc!$A:$XFD,26,7)</f>
        <v>-0.0006464824653083444</v>
      </c>
      <c r="G53" s="202"/>
      <c r="H53" s="202"/>
      <c r="I53" s="202">
        <f>INDEX(Ave_Calc!$A:$XFD,26,8)</f>
        <v>1.2010007965251281</v>
      </c>
      <c r="J53" s="202"/>
      <c r="K53" s="202"/>
      <c r="L53" s="202">
        <f>INDEX(Ave_Calc!$A:$XFD,26,9)</f>
        <v>0.3875534210333453</v>
      </c>
      <c r="M53" s="202"/>
      <c r="N53" s="216"/>
      <c r="O53" s="217" t="str">
        <f>TEXT(LN(2)/ABS(LN(10^F53)),"#,##0")&amp;"d"&amp;"("&amp;TEXT(LN(2)/ABS(LN(10^F53))/365.26,"0.00")&amp;"y)"</f>
        <v>466d(1.27y)</v>
      </c>
      <c r="P53" s="217"/>
      <c r="Q53" s="217"/>
      <c r="R53" s="218">
        <f>10^I53</f>
        <v>15.885496621014402</v>
      </c>
      <c r="S53" s="218"/>
      <c r="T53" s="218"/>
      <c r="U53" s="223">
        <f>(LOG($U$29)-$I53)/$F53</f>
        <v>3870.222204705503</v>
      </c>
      <c r="V53" s="224"/>
      <c r="W53" s="221">
        <f>(LOG($U$29)-$I53)/$F53/365.26</f>
        <v>10.595800812313154</v>
      </c>
      <c r="X53" s="222"/>
    </row>
    <row r="54" spans="24:25" ht="15" customHeight="1">
      <c r="X54" s="13"/>
      <c r="Y54" s="24"/>
    </row>
    <row r="55" spans="1:25" ht="15" customHeight="1">
      <c r="A55" s="31"/>
      <c r="B55" s="32" t="s">
        <v>129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3"/>
      <c r="Y55" s="24"/>
    </row>
    <row r="56" spans="1:25" ht="15" customHeight="1">
      <c r="A56" s="34"/>
      <c r="B56" s="43" t="s">
        <v>130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6"/>
      <c r="Y56" s="24"/>
    </row>
    <row r="57" spans="1:25" ht="15" customHeight="1">
      <c r="A57" s="34"/>
      <c r="B57" s="43" t="s">
        <v>131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6"/>
      <c r="Y57" s="24"/>
    </row>
    <row r="58" spans="1:25" ht="15" customHeight="1">
      <c r="A58" s="37"/>
      <c r="B58" s="38"/>
      <c r="C58" s="38"/>
      <c r="D58" s="38" t="s">
        <v>134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9"/>
      <c r="Y58" s="24"/>
    </row>
    <row r="59" spans="1:25" ht="15" customHeight="1">
      <c r="A59" s="228"/>
      <c r="B59" s="229"/>
      <c r="C59" s="229"/>
      <c r="D59" s="229" t="s">
        <v>135</v>
      </c>
      <c r="E59" s="229"/>
      <c r="F59" s="229"/>
      <c r="G59" s="229"/>
      <c r="H59" s="229"/>
      <c r="I59" s="229"/>
      <c r="J59" s="229"/>
      <c r="K59" s="229"/>
      <c r="L59" s="229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2"/>
      <c r="Y59" s="24"/>
    </row>
    <row r="60" spans="1:25" ht="9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9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</sheetData>
  <mergeCells count="95">
    <mergeCell ref="D23:E25"/>
    <mergeCell ref="D44:E46"/>
    <mergeCell ref="U32:V32"/>
    <mergeCell ref="W30:X30"/>
    <mergeCell ref="W31:X31"/>
    <mergeCell ref="W32:X32"/>
    <mergeCell ref="R29:T29"/>
    <mergeCell ref="U29:X29"/>
    <mergeCell ref="R30:T30"/>
    <mergeCell ref="R31:T31"/>
    <mergeCell ref="U30:V30"/>
    <mergeCell ref="U31:V31"/>
    <mergeCell ref="A35:C37"/>
    <mergeCell ref="U51:V51"/>
    <mergeCell ref="W53:X53"/>
    <mergeCell ref="U53:V53"/>
    <mergeCell ref="R53:T53"/>
    <mergeCell ref="O53:Q53"/>
    <mergeCell ref="L53:N53"/>
    <mergeCell ref="I53:K53"/>
    <mergeCell ref="W51:X51"/>
    <mergeCell ref="R32:T32"/>
    <mergeCell ref="O31:Q31"/>
    <mergeCell ref="L30:N30"/>
    <mergeCell ref="O30:Q30"/>
    <mergeCell ref="O29:Q29"/>
    <mergeCell ref="L32:N32"/>
    <mergeCell ref="O32:Q32"/>
    <mergeCell ref="L31:N31"/>
    <mergeCell ref="L29:N29"/>
    <mergeCell ref="I29:K29"/>
    <mergeCell ref="F32:H32"/>
    <mergeCell ref="I32:K32"/>
    <mergeCell ref="F31:H31"/>
    <mergeCell ref="I31:K31"/>
    <mergeCell ref="F30:H30"/>
    <mergeCell ref="I30:K30"/>
    <mergeCell ref="F29:H29"/>
    <mergeCell ref="A14:C16"/>
    <mergeCell ref="D32:E32"/>
    <mergeCell ref="A10:B11"/>
    <mergeCell ref="C10:L10"/>
    <mergeCell ref="D27:E27"/>
    <mergeCell ref="D31:E31"/>
    <mergeCell ref="D30:E30"/>
    <mergeCell ref="D20:E20"/>
    <mergeCell ref="D16:E17"/>
    <mergeCell ref="C11:X11"/>
    <mergeCell ref="A9:B9"/>
    <mergeCell ref="C9:L9"/>
    <mergeCell ref="M9:N9"/>
    <mergeCell ref="O9:X9"/>
    <mergeCell ref="C8:L8"/>
    <mergeCell ref="M8:N8"/>
    <mergeCell ref="O8:X8"/>
    <mergeCell ref="M10:N10"/>
    <mergeCell ref="O10:X10"/>
    <mergeCell ref="D13:E13"/>
    <mergeCell ref="D29:E29"/>
    <mergeCell ref="A20:C20"/>
    <mergeCell ref="A4:X5"/>
    <mergeCell ref="O6:X6"/>
    <mergeCell ref="A7:B7"/>
    <mergeCell ref="C7:L7"/>
    <mergeCell ref="M7:N7"/>
    <mergeCell ref="O7:X7"/>
    <mergeCell ref="A8:B8"/>
    <mergeCell ref="F53:H53"/>
    <mergeCell ref="D53:E53"/>
    <mergeCell ref="W52:X52"/>
    <mergeCell ref="U52:V52"/>
    <mergeCell ref="R52:T52"/>
    <mergeCell ref="O52:Q52"/>
    <mergeCell ref="L52:N52"/>
    <mergeCell ref="I52:K52"/>
    <mergeCell ref="F52:H52"/>
    <mergeCell ref="D52:E52"/>
    <mergeCell ref="R51:T51"/>
    <mergeCell ref="O51:Q51"/>
    <mergeCell ref="L51:N51"/>
    <mergeCell ref="I51:K51"/>
    <mergeCell ref="A41:C41"/>
    <mergeCell ref="F51:H51"/>
    <mergeCell ref="D51:E51"/>
    <mergeCell ref="U50:X50"/>
    <mergeCell ref="R50:T50"/>
    <mergeCell ref="O50:Q50"/>
    <mergeCell ref="L50:N50"/>
    <mergeCell ref="I50:K50"/>
    <mergeCell ref="F50:H50"/>
    <mergeCell ref="D50:E50"/>
    <mergeCell ref="D37:E38"/>
    <mergeCell ref="D34:E34"/>
    <mergeCell ref="D48:E48"/>
    <mergeCell ref="D41:E41"/>
  </mergeCells>
  <printOptions horizontalCentered="1" verticalCentered="1"/>
  <pageMargins left="0.3937007874015748" right="0" top="0.1968503937007874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10"/>
  <sheetViews>
    <sheetView workbookViewId="0" topLeftCell="A1">
      <pane xSplit="5" ySplit="9" topLeftCell="F1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21" sqref="G21"/>
    </sheetView>
  </sheetViews>
  <sheetFormatPr defaultColWidth="9.00390625" defaultRowHeight="14.25"/>
  <cols>
    <col min="1" max="1" width="4.625" style="1" customWidth="1"/>
    <col min="2" max="5" width="6.625" style="1" customWidth="1"/>
    <col min="6" max="14" width="10.625" style="1" customWidth="1"/>
    <col min="15" max="16384" width="9.00390625" style="1" customWidth="1"/>
  </cols>
  <sheetData>
    <row r="1" spans="5:14" ht="13.5">
      <c r="E1" s="8" t="s">
        <v>15</v>
      </c>
      <c r="F1" s="3" t="s">
        <v>26</v>
      </c>
      <c r="G1" s="3" t="s">
        <v>29</v>
      </c>
      <c r="H1" s="3" t="s">
        <v>30</v>
      </c>
      <c r="I1" s="3" t="s">
        <v>26</v>
      </c>
      <c r="J1" s="3" t="s">
        <v>29</v>
      </c>
      <c r="K1" s="3" t="s">
        <v>30</v>
      </c>
      <c r="L1" s="3" t="s">
        <v>0</v>
      </c>
      <c r="M1" s="3" t="s">
        <v>27</v>
      </c>
      <c r="N1" s="3" t="s">
        <v>28</v>
      </c>
    </row>
    <row r="2" spans="5:14" ht="13.5">
      <c r="E2" s="8" t="s">
        <v>12</v>
      </c>
      <c r="F2" s="1" t="s">
        <v>23</v>
      </c>
      <c r="G2" s="1" t="s">
        <v>23</v>
      </c>
      <c r="H2" s="1" t="s">
        <v>23</v>
      </c>
      <c r="I2" s="1" t="s">
        <v>23</v>
      </c>
      <c r="J2" s="1" t="s">
        <v>23</v>
      </c>
      <c r="K2" s="1" t="s">
        <v>23</v>
      </c>
      <c r="L2" s="1" t="s">
        <v>23</v>
      </c>
      <c r="M2" s="1" t="s">
        <v>23</v>
      </c>
      <c r="N2" s="1" t="s">
        <v>23</v>
      </c>
    </row>
    <row r="3" ht="13.5">
      <c r="E3" s="8" t="s">
        <v>16</v>
      </c>
    </row>
    <row r="4" spans="5:14" ht="13.5">
      <c r="E4" s="8" t="s">
        <v>17</v>
      </c>
      <c r="F4" s="14">
        <v>40873</v>
      </c>
      <c r="G4" s="14">
        <v>40873</v>
      </c>
      <c r="H4" s="14">
        <v>40873</v>
      </c>
      <c r="I4" s="14">
        <v>40986</v>
      </c>
      <c r="J4" s="14">
        <v>40986</v>
      </c>
      <c r="K4" s="14">
        <v>40986</v>
      </c>
      <c r="L4" s="14">
        <v>41055</v>
      </c>
      <c r="M4" s="14">
        <v>41055</v>
      </c>
      <c r="N4" s="14">
        <v>41055</v>
      </c>
    </row>
    <row r="5" spans="5:14" ht="13.5">
      <c r="E5" s="8" t="s">
        <v>13</v>
      </c>
      <c r="F5" s="1" t="s">
        <v>24</v>
      </c>
      <c r="G5" s="1" t="s">
        <v>24</v>
      </c>
      <c r="H5" s="1" t="s">
        <v>24</v>
      </c>
      <c r="I5" s="1" t="s">
        <v>32</v>
      </c>
      <c r="J5" s="1" t="s">
        <v>32</v>
      </c>
      <c r="K5" s="1" t="s">
        <v>32</v>
      </c>
      <c r="L5" s="1" t="s">
        <v>39</v>
      </c>
      <c r="M5" s="1" t="s">
        <v>39</v>
      </c>
      <c r="N5" s="1" t="s">
        <v>39</v>
      </c>
    </row>
    <row r="6" spans="5:14" ht="13.5">
      <c r="E6" s="8" t="s">
        <v>18</v>
      </c>
      <c r="F6" s="1" t="s">
        <v>35</v>
      </c>
      <c r="G6" s="1" t="s">
        <v>35</v>
      </c>
      <c r="H6" s="1" t="s">
        <v>35</v>
      </c>
      <c r="I6" s="1" t="s">
        <v>37</v>
      </c>
      <c r="J6" s="1" t="s">
        <v>37</v>
      </c>
      <c r="K6" s="1" t="s">
        <v>37</v>
      </c>
      <c r="L6" s="1" t="s">
        <v>40</v>
      </c>
      <c r="M6" s="1" t="s">
        <v>40</v>
      </c>
      <c r="N6" s="1" t="s">
        <v>40</v>
      </c>
    </row>
    <row r="7" spans="5:14" ht="13.5">
      <c r="E7" s="8" t="s">
        <v>14</v>
      </c>
      <c r="F7" s="4" t="s">
        <v>36</v>
      </c>
      <c r="G7" s="4" t="s">
        <v>36</v>
      </c>
      <c r="H7" s="4" t="s">
        <v>36</v>
      </c>
      <c r="I7" s="4" t="s">
        <v>36</v>
      </c>
      <c r="J7" s="4" t="s">
        <v>36</v>
      </c>
      <c r="K7" s="4" t="s">
        <v>36</v>
      </c>
      <c r="L7" s="4" t="s">
        <v>36</v>
      </c>
      <c r="M7" s="4" t="s">
        <v>36</v>
      </c>
      <c r="N7" s="4" t="s">
        <v>36</v>
      </c>
    </row>
    <row r="8" spans="5:14" ht="49.5" customHeight="1">
      <c r="E8" s="8" t="s">
        <v>22</v>
      </c>
      <c r="F8" s="9" t="s">
        <v>31</v>
      </c>
      <c r="G8" s="9" t="s">
        <v>31</v>
      </c>
      <c r="H8" s="9" t="s">
        <v>31</v>
      </c>
      <c r="I8" s="9"/>
      <c r="J8" s="9"/>
      <c r="K8" s="9"/>
      <c r="L8" s="9" t="s">
        <v>41</v>
      </c>
      <c r="M8" s="9" t="s">
        <v>41</v>
      </c>
      <c r="N8" s="9" t="s">
        <v>41</v>
      </c>
    </row>
    <row r="9" spans="1:14" ht="13.5">
      <c r="A9" s="3" t="s">
        <v>19</v>
      </c>
      <c r="B9" s="3" t="s">
        <v>1</v>
      </c>
      <c r="C9" s="3" t="s">
        <v>2</v>
      </c>
      <c r="D9" s="3" t="s">
        <v>20</v>
      </c>
      <c r="E9" s="3" t="s">
        <v>21</v>
      </c>
      <c r="F9" s="10" t="s">
        <v>25</v>
      </c>
      <c r="G9" s="10" t="s">
        <v>25</v>
      </c>
      <c r="H9" s="10" t="s">
        <v>25</v>
      </c>
      <c r="I9" s="10" t="s">
        <v>33</v>
      </c>
      <c r="J9" s="10" t="s">
        <v>33</v>
      </c>
      <c r="K9" s="10" t="s">
        <v>33</v>
      </c>
      <c r="L9" s="10" t="s">
        <v>42</v>
      </c>
      <c r="M9" s="10" t="s">
        <v>42</v>
      </c>
      <c r="N9" s="10" t="s">
        <v>42</v>
      </c>
    </row>
    <row r="10" spans="1:14" ht="13.5">
      <c r="A10" s="1">
        <f>ROW()-10</f>
        <v>0</v>
      </c>
      <c r="B10" s="1" t="s">
        <v>11</v>
      </c>
      <c r="D10" s="5"/>
      <c r="E10" s="5"/>
      <c r="F10" s="1">
        <v>30</v>
      </c>
      <c r="G10" s="1">
        <v>30</v>
      </c>
      <c r="H10" s="1">
        <v>30</v>
      </c>
      <c r="I10" s="1">
        <v>30</v>
      </c>
      <c r="J10" s="1">
        <v>30</v>
      </c>
      <c r="K10" s="1">
        <v>30</v>
      </c>
      <c r="L10" s="1">
        <v>30</v>
      </c>
      <c r="M10" s="1">
        <v>30</v>
      </c>
      <c r="N10" s="1">
        <v>30</v>
      </c>
    </row>
    <row r="11" spans="1:14" ht="13.5">
      <c r="A11" s="1">
        <v>1</v>
      </c>
      <c r="B11" s="1" t="s">
        <v>43</v>
      </c>
      <c r="D11" s="6">
        <v>117</v>
      </c>
      <c r="E11" s="6">
        <v>436</v>
      </c>
      <c r="F11" s="7">
        <v>7.82</v>
      </c>
      <c r="G11" s="7">
        <v>7.79</v>
      </c>
      <c r="H11" s="7">
        <v>7.97</v>
      </c>
      <c r="I11" s="7">
        <v>10.7</v>
      </c>
      <c r="J11" s="7">
        <v>10.7</v>
      </c>
      <c r="K11" s="7">
        <v>10.7</v>
      </c>
      <c r="L11" s="7">
        <v>6.45</v>
      </c>
      <c r="M11" s="7">
        <v>6.45</v>
      </c>
      <c r="N11" s="7">
        <v>6.55</v>
      </c>
    </row>
    <row r="12" spans="1:14" ht="13.5">
      <c r="A12" s="1">
        <v>2</v>
      </c>
      <c r="B12" s="1" t="s">
        <v>43</v>
      </c>
      <c r="D12" s="6">
        <v>220</v>
      </c>
      <c r="E12" s="6">
        <v>424</v>
      </c>
      <c r="F12" s="7">
        <v>7.8</v>
      </c>
      <c r="G12" s="7">
        <v>7.71</v>
      </c>
      <c r="H12" s="7">
        <v>8.6</v>
      </c>
      <c r="I12" s="7">
        <v>11</v>
      </c>
      <c r="J12" s="7">
        <v>11</v>
      </c>
      <c r="K12" s="7">
        <v>11</v>
      </c>
      <c r="L12" s="7">
        <v>6.52</v>
      </c>
      <c r="M12" s="7">
        <v>6.55</v>
      </c>
      <c r="N12" s="7">
        <v>6.62</v>
      </c>
    </row>
    <row r="13" spans="1:14" ht="13.5">
      <c r="A13" s="1">
        <v>3</v>
      </c>
      <c r="B13" s="1" t="s">
        <v>43</v>
      </c>
      <c r="D13" s="6">
        <v>220</v>
      </c>
      <c r="E13" s="6">
        <v>520</v>
      </c>
      <c r="F13" s="7">
        <v>8.1</v>
      </c>
      <c r="G13" s="7">
        <v>7.95</v>
      </c>
      <c r="H13" s="7">
        <v>8.05</v>
      </c>
      <c r="I13" s="7">
        <v>11.7</v>
      </c>
      <c r="J13" s="7">
        <v>11.7</v>
      </c>
      <c r="K13" s="7">
        <v>11.8</v>
      </c>
      <c r="L13" s="7">
        <v>6.75</v>
      </c>
      <c r="M13" s="7">
        <v>6.76</v>
      </c>
      <c r="N13" s="7">
        <v>6.7</v>
      </c>
    </row>
    <row r="14" spans="1:14" ht="13.5">
      <c r="A14" s="1">
        <v>4</v>
      </c>
      <c r="B14" s="1" t="s">
        <v>43</v>
      </c>
      <c r="D14" s="6">
        <v>347</v>
      </c>
      <c r="E14" s="6">
        <v>470</v>
      </c>
      <c r="F14" s="7">
        <v>10.6</v>
      </c>
      <c r="G14" s="7">
        <v>10.6</v>
      </c>
      <c r="H14" s="7">
        <v>10.5</v>
      </c>
      <c r="I14" s="7">
        <v>10.3</v>
      </c>
      <c r="J14" s="7">
        <v>10.4</v>
      </c>
      <c r="K14" s="7">
        <v>10.4</v>
      </c>
      <c r="L14" s="7">
        <v>5.14</v>
      </c>
      <c r="M14" s="7">
        <v>6.04</v>
      </c>
      <c r="N14" s="7">
        <v>6.04</v>
      </c>
    </row>
    <row r="15" spans="1:14" ht="13.5">
      <c r="A15" s="1">
        <v>5</v>
      </c>
      <c r="B15" s="1" t="s">
        <v>43</v>
      </c>
      <c r="D15" s="6">
        <v>217</v>
      </c>
      <c r="E15" s="6">
        <v>634</v>
      </c>
      <c r="F15" s="7">
        <v>12.2</v>
      </c>
      <c r="G15" s="7">
        <v>12.1</v>
      </c>
      <c r="H15" s="7">
        <v>12.1</v>
      </c>
      <c r="I15" s="7">
        <v>12</v>
      </c>
      <c r="J15" s="7">
        <v>12</v>
      </c>
      <c r="K15" s="7">
        <v>12.1</v>
      </c>
      <c r="L15" s="7">
        <v>7.31</v>
      </c>
      <c r="M15" s="7">
        <v>7.25</v>
      </c>
      <c r="N15" s="7">
        <v>7.25</v>
      </c>
    </row>
    <row r="16" spans="1:14" ht="13.5">
      <c r="A16" s="1">
        <v>6</v>
      </c>
      <c r="B16" s="1" t="s">
        <v>43</v>
      </c>
      <c r="D16" s="6">
        <v>217</v>
      </c>
      <c r="E16" s="6">
        <v>753</v>
      </c>
      <c r="F16" s="7">
        <v>12.5</v>
      </c>
      <c r="G16" s="7">
        <v>12.4</v>
      </c>
      <c r="H16" s="7">
        <v>12.5</v>
      </c>
      <c r="I16" s="7">
        <v>12.3</v>
      </c>
      <c r="J16" s="7">
        <v>12.3</v>
      </c>
      <c r="K16" s="7">
        <v>12.4</v>
      </c>
      <c r="L16" s="7">
        <v>7.84</v>
      </c>
      <c r="M16" s="7">
        <v>7.74</v>
      </c>
      <c r="N16" s="7">
        <v>7.83</v>
      </c>
    </row>
    <row r="17" spans="1:14" ht="13.5">
      <c r="A17" s="1">
        <v>7</v>
      </c>
      <c r="B17" s="1" t="s">
        <v>43</v>
      </c>
      <c r="D17" s="6">
        <v>100</v>
      </c>
      <c r="E17" s="6">
        <v>753</v>
      </c>
      <c r="F17" s="7">
        <v>11.4</v>
      </c>
      <c r="G17" s="7">
        <v>11.4</v>
      </c>
      <c r="H17" s="7">
        <v>13.3</v>
      </c>
      <c r="I17" s="7">
        <v>13.4</v>
      </c>
      <c r="J17" s="7">
        <v>13.4</v>
      </c>
      <c r="K17" s="7">
        <v>13.5</v>
      </c>
      <c r="L17" s="7">
        <v>9.42</v>
      </c>
      <c r="M17" s="7">
        <v>10</v>
      </c>
      <c r="N17" s="7">
        <v>9.86</v>
      </c>
    </row>
    <row r="18" spans="1:14" ht="13.5">
      <c r="A18" s="1">
        <v>8</v>
      </c>
      <c r="B18" s="1" t="s">
        <v>43</v>
      </c>
      <c r="D18" s="6">
        <v>100</v>
      </c>
      <c r="E18" s="6">
        <v>634</v>
      </c>
      <c r="F18" s="7">
        <v>13</v>
      </c>
      <c r="G18" s="7">
        <v>13</v>
      </c>
      <c r="H18" s="7">
        <v>13.2</v>
      </c>
      <c r="I18" s="7">
        <v>13.2</v>
      </c>
      <c r="J18" s="7">
        <v>13</v>
      </c>
      <c r="K18" s="7">
        <v>13.1</v>
      </c>
      <c r="L18" s="7">
        <v>9.05</v>
      </c>
      <c r="M18" s="7">
        <v>8.75</v>
      </c>
      <c r="N18" s="7">
        <v>8.4</v>
      </c>
    </row>
    <row r="19" spans="1:14" ht="13.5">
      <c r="A19" s="1">
        <v>9</v>
      </c>
      <c r="B19" s="1" t="s">
        <v>43</v>
      </c>
      <c r="D19" s="6">
        <v>363</v>
      </c>
      <c r="E19" s="6">
        <v>634</v>
      </c>
      <c r="F19" s="7">
        <v>8.8</v>
      </c>
      <c r="G19" s="7">
        <v>8.6</v>
      </c>
      <c r="H19" s="7">
        <v>9.15</v>
      </c>
      <c r="I19" s="7">
        <v>10.5</v>
      </c>
      <c r="J19" s="7">
        <v>10.5</v>
      </c>
      <c r="K19" s="7">
        <v>10.5</v>
      </c>
      <c r="L19" s="7">
        <v>7.48</v>
      </c>
      <c r="M19" s="7">
        <v>7.52</v>
      </c>
      <c r="N19" s="7">
        <v>7.62</v>
      </c>
    </row>
    <row r="20" spans="1:14" ht="13.5">
      <c r="A20" s="1">
        <v>10</v>
      </c>
      <c r="B20" s="1" t="s">
        <v>43</v>
      </c>
      <c r="D20" s="6">
        <v>363</v>
      </c>
      <c r="E20" s="6">
        <v>770</v>
      </c>
      <c r="F20" s="7">
        <v>8.28</v>
      </c>
      <c r="G20" s="7">
        <v>8.22</v>
      </c>
      <c r="H20" s="7">
        <v>14.5</v>
      </c>
      <c r="I20" s="7">
        <v>10.5</v>
      </c>
      <c r="J20" s="7">
        <v>10.6</v>
      </c>
      <c r="K20" s="7">
        <v>10.6</v>
      </c>
      <c r="L20" s="7">
        <v>6.87</v>
      </c>
      <c r="M20" s="7">
        <v>6.89</v>
      </c>
      <c r="N20" s="7">
        <v>6.89</v>
      </c>
    </row>
    <row r="21" spans="1:14" ht="13.5">
      <c r="A21" s="1">
        <v>11</v>
      </c>
      <c r="B21" s="1" t="s">
        <v>43</v>
      </c>
      <c r="D21" s="6">
        <v>394</v>
      </c>
      <c r="E21" s="6">
        <v>470</v>
      </c>
      <c r="F21" s="7">
        <v>10.7</v>
      </c>
      <c r="G21" s="7">
        <v>10.7</v>
      </c>
      <c r="H21" s="7">
        <v>10.7</v>
      </c>
      <c r="I21" s="7">
        <v>10.2</v>
      </c>
      <c r="J21" s="7">
        <v>10.2</v>
      </c>
      <c r="K21" s="7">
        <v>10.2</v>
      </c>
      <c r="L21" s="7">
        <v>6.6</v>
      </c>
      <c r="M21" s="7">
        <v>7.02</v>
      </c>
      <c r="N21" s="7">
        <v>7.34</v>
      </c>
    </row>
    <row r="22" spans="1:14" ht="13.5">
      <c r="A22" s="1">
        <v>12</v>
      </c>
      <c r="B22" s="1" t="s">
        <v>43</v>
      </c>
      <c r="D22" s="6">
        <v>354</v>
      </c>
      <c r="E22" s="6">
        <v>375</v>
      </c>
      <c r="F22" s="7">
        <v>10.9</v>
      </c>
      <c r="G22" s="7">
        <v>10.8</v>
      </c>
      <c r="H22" s="7">
        <v>10.8</v>
      </c>
      <c r="I22" s="7">
        <v>10.1</v>
      </c>
      <c r="J22" s="7">
        <v>10.1</v>
      </c>
      <c r="K22" s="7">
        <v>10.1</v>
      </c>
      <c r="L22" s="7">
        <v>6.97</v>
      </c>
      <c r="M22" s="7">
        <v>7.37</v>
      </c>
      <c r="N22" s="7">
        <v>7.37</v>
      </c>
    </row>
    <row r="23" spans="1:14" ht="13.5">
      <c r="A23" s="1">
        <v>13</v>
      </c>
      <c r="B23" s="1" t="s">
        <v>43</v>
      </c>
      <c r="D23" s="6">
        <v>363</v>
      </c>
      <c r="E23" s="6">
        <v>270</v>
      </c>
      <c r="F23" s="7">
        <v>11</v>
      </c>
      <c r="G23" s="7">
        <v>10.9</v>
      </c>
      <c r="H23" s="7">
        <v>11</v>
      </c>
      <c r="I23" s="7">
        <v>10</v>
      </c>
      <c r="J23" s="7">
        <v>10</v>
      </c>
      <c r="K23" s="7">
        <v>10</v>
      </c>
      <c r="L23" s="7">
        <v>6.88</v>
      </c>
      <c r="M23" s="7">
        <v>9.05</v>
      </c>
      <c r="N23" s="7">
        <v>10.5</v>
      </c>
    </row>
    <row r="24" spans="1:14" ht="13.5">
      <c r="A24" s="1">
        <v>14</v>
      </c>
      <c r="B24" s="1" t="s">
        <v>43</v>
      </c>
      <c r="D24" s="6">
        <v>243</v>
      </c>
      <c r="E24" s="6">
        <v>327</v>
      </c>
      <c r="F24" s="7">
        <v>7.99</v>
      </c>
      <c r="G24" s="7">
        <v>7.97</v>
      </c>
      <c r="H24" s="7">
        <v>14.1</v>
      </c>
      <c r="I24" s="7">
        <v>10.8</v>
      </c>
      <c r="J24" s="7">
        <v>10.8</v>
      </c>
      <c r="K24" s="7">
        <v>10.9</v>
      </c>
      <c r="L24" s="7">
        <v>6.52</v>
      </c>
      <c r="M24" s="7">
        <v>6.55</v>
      </c>
      <c r="N24" s="7">
        <v>6.62</v>
      </c>
    </row>
    <row r="25" spans="1:14" ht="13.5">
      <c r="A25" s="1">
        <v>15</v>
      </c>
      <c r="B25" s="1" t="s">
        <v>43</v>
      </c>
      <c r="D25" s="6">
        <v>243</v>
      </c>
      <c r="E25" s="6">
        <v>232</v>
      </c>
      <c r="F25" s="7">
        <v>10.49</v>
      </c>
      <c r="G25" s="7">
        <v>10.5</v>
      </c>
      <c r="H25" s="7">
        <v>10.6</v>
      </c>
      <c r="I25" s="7">
        <v>10.8</v>
      </c>
      <c r="J25" s="7">
        <v>10.8</v>
      </c>
      <c r="K25" s="7">
        <v>10.8</v>
      </c>
      <c r="L25" s="7">
        <v>8.71</v>
      </c>
      <c r="M25" s="7">
        <v>8.89</v>
      </c>
      <c r="N25" s="7">
        <v>9.01</v>
      </c>
    </row>
    <row r="26" spans="1:14" ht="13.5">
      <c r="A26" s="1">
        <v>16</v>
      </c>
      <c r="B26" s="1" t="s">
        <v>43</v>
      </c>
      <c r="D26" s="6">
        <v>126</v>
      </c>
      <c r="E26" s="6">
        <v>232</v>
      </c>
      <c r="F26" s="7">
        <v>11</v>
      </c>
      <c r="G26" s="7">
        <v>11.2</v>
      </c>
      <c r="H26" s="7">
        <v>11</v>
      </c>
      <c r="I26" s="7">
        <v>10.8</v>
      </c>
      <c r="J26" s="7">
        <v>10.8</v>
      </c>
      <c r="K26" s="7">
        <v>10.8</v>
      </c>
      <c r="L26" s="7">
        <v>9.49</v>
      </c>
      <c r="M26" s="7">
        <v>10.2</v>
      </c>
      <c r="N26" s="7">
        <v>10.3</v>
      </c>
    </row>
    <row r="27" spans="1:14" ht="13.5">
      <c r="A27" s="1">
        <v>17</v>
      </c>
      <c r="B27" s="1" t="s">
        <v>44</v>
      </c>
      <c r="D27" s="6">
        <v>126</v>
      </c>
      <c r="E27" s="6">
        <v>327</v>
      </c>
      <c r="F27" s="7">
        <v>10.9</v>
      </c>
      <c r="G27" s="7">
        <v>11</v>
      </c>
      <c r="H27" s="7">
        <v>11</v>
      </c>
      <c r="I27" s="7">
        <v>10.8</v>
      </c>
      <c r="J27" s="7">
        <v>10.8</v>
      </c>
      <c r="K27" s="7">
        <v>10.8</v>
      </c>
      <c r="L27" s="7">
        <v>6.65</v>
      </c>
      <c r="M27" s="7">
        <v>6.66</v>
      </c>
      <c r="N27" s="7">
        <v>10.8</v>
      </c>
    </row>
    <row r="28" spans="1:14" ht="13.5">
      <c r="A28" s="1">
        <v>18</v>
      </c>
      <c r="B28" s="1" t="s">
        <v>44</v>
      </c>
      <c r="D28" s="6">
        <v>945</v>
      </c>
      <c r="E28" s="6">
        <v>542</v>
      </c>
      <c r="F28" s="7">
        <v>13.1</v>
      </c>
      <c r="G28" s="7">
        <v>11.6</v>
      </c>
      <c r="H28" s="7">
        <v>12.7</v>
      </c>
      <c r="I28" s="7">
        <v>10</v>
      </c>
      <c r="J28" s="7">
        <v>10</v>
      </c>
      <c r="K28" s="7">
        <v>10</v>
      </c>
      <c r="L28" s="7">
        <v>7.93</v>
      </c>
      <c r="M28" s="7">
        <v>7.77</v>
      </c>
      <c r="N28" s="7">
        <v>7.64</v>
      </c>
    </row>
    <row r="29" spans="1:14" ht="13.5">
      <c r="A29" s="1">
        <v>19</v>
      </c>
      <c r="B29" s="1" t="s">
        <v>44</v>
      </c>
      <c r="D29" s="6">
        <v>843</v>
      </c>
      <c r="E29" s="6">
        <v>563</v>
      </c>
      <c r="F29" s="7">
        <v>11.2</v>
      </c>
      <c r="G29" s="7">
        <v>10.8</v>
      </c>
      <c r="H29" s="7">
        <v>10.8</v>
      </c>
      <c r="I29" s="7">
        <v>10</v>
      </c>
      <c r="J29" s="7">
        <v>10</v>
      </c>
      <c r="K29" s="7">
        <v>10</v>
      </c>
      <c r="L29" s="7">
        <v>8.13</v>
      </c>
      <c r="M29" s="7">
        <v>8.14</v>
      </c>
      <c r="N29" s="7">
        <v>8.17</v>
      </c>
    </row>
    <row r="30" spans="1:14" ht="13.5">
      <c r="A30" s="1">
        <v>20</v>
      </c>
      <c r="B30" s="1" t="s">
        <v>44</v>
      </c>
      <c r="D30" s="6">
        <v>843</v>
      </c>
      <c r="E30" s="6">
        <v>465</v>
      </c>
      <c r="F30" s="7">
        <v>10.7</v>
      </c>
      <c r="G30" s="7">
        <v>10.8</v>
      </c>
      <c r="H30" s="7">
        <v>10.7</v>
      </c>
      <c r="I30" s="7">
        <v>10</v>
      </c>
      <c r="J30" s="7">
        <v>10</v>
      </c>
      <c r="K30" s="7">
        <v>10</v>
      </c>
      <c r="L30" s="7">
        <v>8.01</v>
      </c>
      <c r="M30" s="7">
        <v>7.95</v>
      </c>
      <c r="N30" s="7">
        <v>8.1</v>
      </c>
    </row>
    <row r="31" spans="1:14" ht="13.5">
      <c r="A31" s="1">
        <v>21</v>
      </c>
      <c r="B31" s="1" t="s">
        <v>44</v>
      </c>
      <c r="D31" s="6">
        <v>734</v>
      </c>
      <c r="E31" s="6">
        <v>640</v>
      </c>
      <c r="F31" s="7">
        <v>12.2</v>
      </c>
      <c r="G31" s="7">
        <v>12.1</v>
      </c>
      <c r="H31" s="7">
        <v>12.1</v>
      </c>
      <c r="I31" s="7">
        <v>9.87</v>
      </c>
      <c r="J31" s="7">
        <v>9.88</v>
      </c>
      <c r="K31" s="7">
        <v>9.89</v>
      </c>
      <c r="L31" s="7">
        <v>10.6</v>
      </c>
      <c r="M31" s="7">
        <v>10.6</v>
      </c>
      <c r="N31" s="7">
        <v>10.6</v>
      </c>
    </row>
    <row r="32" spans="1:14" ht="13.5">
      <c r="A32" s="1">
        <v>22</v>
      </c>
      <c r="B32" s="1" t="s">
        <v>44</v>
      </c>
      <c r="D32" s="6">
        <v>734</v>
      </c>
      <c r="E32" s="6">
        <v>750</v>
      </c>
      <c r="F32" s="7">
        <v>12.5</v>
      </c>
      <c r="G32" s="7">
        <v>12.4</v>
      </c>
      <c r="H32" s="7">
        <v>12.5</v>
      </c>
      <c r="I32" s="7">
        <v>9.93</v>
      </c>
      <c r="J32" s="7">
        <v>9.92</v>
      </c>
      <c r="K32" s="7">
        <v>9.92</v>
      </c>
      <c r="L32" s="7">
        <v>10.5</v>
      </c>
      <c r="M32" s="7">
        <v>10.6</v>
      </c>
      <c r="N32" s="7">
        <v>10.6</v>
      </c>
    </row>
    <row r="33" spans="1:14" ht="13.5">
      <c r="A33" s="1">
        <v>23</v>
      </c>
      <c r="B33" s="1" t="s">
        <v>44</v>
      </c>
      <c r="D33" s="6">
        <v>608</v>
      </c>
      <c r="E33" s="6">
        <v>750</v>
      </c>
      <c r="F33" s="7">
        <v>11.4</v>
      </c>
      <c r="G33" s="7">
        <v>11.4</v>
      </c>
      <c r="H33" s="7">
        <v>13.3</v>
      </c>
      <c r="I33" s="7">
        <v>9.9</v>
      </c>
      <c r="J33" s="7">
        <v>9.87</v>
      </c>
      <c r="K33" s="7">
        <v>9.88</v>
      </c>
      <c r="L33" s="7">
        <v>10.6</v>
      </c>
      <c r="M33" s="7">
        <v>10.5</v>
      </c>
      <c r="N33" s="7">
        <v>10.6</v>
      </c>
    </row>
    <row r="34" spans="1:14" ht="13.5">
      <c r="A34" s="1">
        <v>24</v>
      </c>
      <c r="B34" s="1" t="s">
        <v>44</v>
      </c>
      <c r="D34" s="6">
        <v>608</v>
      </c>
      <c r="E34" s="6">
        <v>640</v>
      </c>
      <c r="F34" s="7">
        <v>13</v>
      </c>
      <c r="G34" s="7">
        <v>13</v>
      </c>
      <c r="H34" s="7">
        <v>12</v>
      </c>
      <c r="I34" s="7">
        <v>9.91</v>
      </c>
      <c r="J34" s="7">
        <v>9.9</v>
      </c>
      <c r="K34" s="7">
        <v>9.96</v>
      </c>
      <c r="L34" s="7">
        <v>10.5</v>
      </c>
      <c r="M34" s="7">
        <v>10.9</v>
      </c>
      <c r="N34" s="7">
        <v>11.9</v>
      </c>
    </row>
    <row r="35" spans="1:14" ht="13.5">
      <c r="A35" s="1">
        <v>25</v>
      </c>
      <c r="B35" s="1" t="s">
        <v>44</v>
      </c>
      <c r="D35" s="6">
        <v>824</v>
      </c>
      <c r="E35" s="6">
        <v>722</v>
      </c>
      <c r="F35" s="7">
        <v>11.8</v>
      </c>
      <c r="G35" s="7">
        <v>11.8</v>
      </c>
      <c r="H35" s="7">
        <v>11.8</v>
      </c>
      <c r="I35" s="7">
        <v>9.92</v>
      </c>
      <c r="J35" s="7">
        <v>9.92</v>
      </c>
      <c r="K35" s="7">
        <v>9.93</v>
      </c>
      <c r="L35" s="7">
        <v>10.3</v>
      </c>
      <c r="M35" s="7">
        <v>10.3</v>
      </c>
      <c r="N35" s="7">
        <v>10.3</v>
      </c>
    </row>
    <row r="36" spans="1:14" ht="13.5">
      <c r="A36" s="1">
        <v>26</v>
      </c>
      <c r="B36" s="1" t="s">
        <v>44</v>
      </c>
      <c r="D36" s="6">
        <v>901</v>
      </c>
      <c r="E36" s="6">
        <v>722</v>
      </c>
      <c r="F36" s="7">
        <v>12</v>
      </c>
      <c r="G36" s="7">
        <v>11.8</v>
      </c>
      <c r="H36" s="7">
        <v>11.8</v>
      </c>
      <c r="I36" s="7">
        <v>9.92</v>
      </c>
      <c r="J36" s="7">
        <v>9.92</v>
      </c>
      <c r="K36" s="7">
        <v>9.93</v>
      </c>
      <c r="L36" s="7">
        <v>10.4</v>
      </c>
      <c r="M36" s="7">
        <v>10.4</v>
      </c>
      <c r="N36" s="7">
        <v>10.4</v>
      </c>
    </row>
    <row r="37" spans="1:14" ht="13.5">
      <c r="A37" s="1">
        <v>27</v>
      </c>
      <c r="B37" s="1" t="s">
        <v>44</v>
      </c>
      <c r="D37" s="6">
        <v>907</v>
      </c>
      <c r="E37" s="6">
        <v>470</v>
      </c>
      <c r="F37" s="7">
        <v>10.8</v>
      </c>
      <c r="G37" s="7">
        <v>10.8</v>
      </c>
      <c r="H37" s="7">
        <v>10.9</v>
      </c>
      <c r="I37" s="7">
        <v>10</v>
      </c>
      <c r="J37" s="7">
        <v>10</v>
      </c>
      <c r="K37" s="7">
        <v>10</v>
      </c>
      <c r="L37" s="7">
        <v>8.08</v>
      </c>
      <c r="M37" s="7">
        <v>8.12</v>
      </c>
      <c r="N37" s="7">
        <v>8.13</v>
      </c>
    </row>
    <row r="38" spans="1:14" ht="13.5">
      <c r="A38" s="1">
        <v>28</v>
      </c>
      <c r="B38" s="1" t="s">
        <v>44</v>
      </c>
      <c r="D38" s="6">
        <v>750</v>
      </c>
      <c r="E38" s="6">
        <v>500</v>
      </c>
      <c r="F38" s="7">
        <v>11.5</v>
      </c>
      <c r="G38" s="7">
        <v>11.5</v>
      </c>
      <c r="H38" s="7">
        <v>11.4</v>
      </c>
      <c r="I38" s="7">
        <v>9.98</v>
      </c>
      <c r="J38" s="7">
        <v>9.98</v>
      </c>
      <c r="K38" s="7">
        <v>9.99</v>
      </c>
      <c r="L38" s="7">
        <v>9.34</v>
      </c>
      <c r="M38" s="7">
        <v>9.23</v>
      </c>
      <c r="N38" s="7">
        <v>9.3</v>
      </c>
    </row>
    <row r="39" spans="1:14" ht="13.5">
      <c r="A39" s="1">
        <v>29</v>
      </c>
      <c r="B39" s="1" t="s">
        <v>44</v>
      </c>
      <c r="D39" s="6">
        <v>661</v>
      </c>
      <c r="E39" s="6">
        <v>521</v>
      </c>
      <c r="F39" s="7">
        <v>11.3</v>
      </c>
      <c r="G39" s="7">
        <v>11.3</v>
      </c>
      <c r="H39" s="7">
        <v>11.3</v>
      </c>
      <c r="I39" s="7">
        <v>9.94</v>
      </c>
      <c r="J39" s="7">
        <v>9.95</v>
      </c>
      <c r="K39" s="7">
        <v>9.97</v>
      </c>
      <c r="L39" s="7">
        <v>9.28</v>
      </c>
      <c r="M39" s="7">
        <v>9.26</v>
      </c>
      <c r="N39" s="7">
        <v>8.87</v>
      </c>
    </row>
    <row r="40" spans="1:14" ht="13.5">
      <c r="A40" s="1">
        <v>30</v>
      </c>
      <c r="B40" s="1" t="s">
        <v>44</v>
      </c>
      <c r="D40" s="6">
        <v>661</v>
      </c>
      <c r="E40" s="6">
        <v>418</v>
      </c>
      <c r="F40" s="7">
        <v>11.2</v>
      </c>
      <c r="G40" s="7">
        <v>11.2</v>
      </c>
      <c r="H40" s="7">
        <v>11.2</v>
      </c>
      <c r="I40" s="7">
        <v>9.9</v>
      </c>
      <c r="J40" s="7">
        <v>9.9</v>
      </c>
      <c r="K40" s="7">
        <v>9.91</v>
      </c>
      <c r="L40" s="7">
        <v>8.78</v>
      </c>
      <c r="M40" s="7">
        <v>8.75</v>
      </c>
      <c r="N40" s="7">
        <v>8.8</v>
      </c>
    </row>
    <row r="41" spans="1:14" ht="13.5">
      <c r="A41" s="1">
        <v>31</v>
      </c>
      <c r="B41" s="1" t="s">
        <v>44</v>
      </c>
      <c r="D41" s="6">
        <v>798</v>
      </c>
      <c r="E41" s="6">
        <v>330</v>
      </c>
      <c r="F41" s="7">
        <v>11.3</v>
      </c>
      <c r="G41" s="7">
        <v>11.3</v>
      </c>
      <c r="H41" s="7">
        <v>11.4</v>
      </c>
      <c r="I41" s="7">
        <v>9.95</v>
      </c>
      <c r="J41" s="7">
        <v>9.95</v>
      </c>
      <c r="K41" s="7">
        <v>9.96</v>
      </c>
      <c r="L41" s="7">
        <v>8.17</v>
      </c>
      <c r="M41" s="7">
        <v>8.18</v>
      </c>
      <c r="N41" s="7">
        <v>8.2</v>
      </c>
    </row>
    <row r="42" spans="1:14" ht="13.5">
      <c r="A42" s="1">
        <v>32</v>
      </c>
      <c r="B42" s="1" t="s">
        <v>44</v>
      </c>
      <c r="D42" s="6">
        <v>798</v>
      </c>
      <c r="E42" s="6">
        <v>230</v>
      </c>
      <c r="F42" s="7">
        <v>10.9</v>
      </c>
      <c r="G42" s="7">
        <v>11</v>
      </c>
      <c r="H42" s="7">
        <v>11.1</v>
      </c>
      <c r="I42" s="7">
        <v>9.96</v>
      </c>
      <c r="J42" s="7">
        <v>9.95</v>
      </c>
      <c r="K42" s="7">
        <v>9.96</v>
      </c>
      <c r="L42" s="7">
        <v>8.25</v>
      </c>
      <c r="M42" s="7">
        <v>9.4</v>
      </c>
      <c r="N42" s="7">
        <v>10.6</v>
      </c>
    </row>
    <row r="43" spans="1:14" ht="13.5">
      <c r="A43" s="1">
        <v>33</v>
      </c>
      <c r="B43" s="1" t="s">
        <v>44</v>
      </c>
      <c r="D43" s="6">
        <v>690</v>
      </c>
      <c r="E43" s="6">
        <v>230</v>
      </c>
      <c r="F43" s="7">
        <v>11.1</v>
      </c>
      <c r="G43" s="7">
        <v>11.1</v>
      </c>
      <c r="H43" s="7">
        <v>11.2</v>
      </c>
      <c r="I43" s="7">
        <v>10</v>
      </c>
      <c r="J43" s="7">
        <v>10</v>
      </c>
      <c r="K43" s="7">
        <v>9.97</v>
      </c>
      <c r="L43" s="7">
        <v>9.31</v>
      </c>
      <c r="M43" s="7">
        <v>9.46</v>
      </c>
      <c r="N43" s="7">
        <v>9.55</v>
      </c>
    </row>
    <row r="44" spans="1:14" ht="13.5">
      <c r="A44" s="1">
        <v>34</v>
      </c>
      <c r="B44" s="1" t="s">
        <v>44</v>
      </c>
      <c r="D44" s="6">
        <v>690</v>
      </c>
      <c r="E44" s="6">
        <v>330</v>
      </c>
      <c r="F44" s="7">
        <v>11.3</v>
      </c>
      <c r="G44" s="7">
        <v>11.3</v>
      </c>
      <c r="H44" s="7">
        <v>11.4</v>
      </c>
      <c r="I44" s="7">
        <v>10</v>
      </c>
      <c r="J44" s="7">
        <v>10</v>
      </c>
      <c r="K44" s="7">
        <v>10</v>
      </c>
      <c r="L44" s="7">
        <v>9.64</v>
      </c>
      <c r="M44" s="7">
        <v>9.85</v>
      </c>
      <c r="N44" s="7">
        <v>10.1</v>
      </c>
    </row>
    <row r="45" spans="1:14" ht="13.5">
      <c r="A45" s="1">
        <v>35</v>
      </c>
      <c r="B45" s="1" t="s">
        <v>44</v>
      </c>
      <c r="D45" s="6">
        <v>605</v>
      </c>
      <c r="E45" s="6">
        <v>260</v>
      </c>
      <c r="F45" s="7">
        <v>12.4</v>
      </c>
      <c r="G45" s="7">
        <v>12.5</v>
      </c>
      <c r="H45" s="7">
        <v>12.9</v>
      </c>
      <c r="I45" s="7">
        <v>10</v>
      </c>
      <c r="J45" s="7">
        <v>10</v>
      </c>
      <c r="K45" s="7">
        <v>10</v>
      </c>
      <c r="L45" s="7">
        <v>11.4</v>
      </c>
      <c r="M45" s="7">
        <v>11.9</v>
      </c>
      <c r="N45" s="7">
        <v>12.1</v>
      </c>
    </row>
    <row r="46" spans="1:14" ht="13.5">
      <c r="A46" s="1">
        <v>36</v>
      </c>
      <c r="B46" s="1" t="s">
        <v>44</v>
      </c>
      <c r="D46" s="6">
        <v>605</v>
      </c>
      <c r="E46" s="6">
        <v>379</v>
      </c>
      <c r="F46" s="7">
        <v>11.4</v>
      </c>
      <c r="G46" s="7">
        <v>11.5</v>
      </c>
      <c r="H46" s="7">
        <v>13.9</v>
      </c>
      <c r="I46" s="7">
        <v>10</v>
      </c>
      <c r="J46" s="7">
        <v>10</v>
      </c>
      <c r="K46" s="7">
        <v>9.96</v>
      </c>
      <c r="L46" s="7">
        <v>7.43</v>
      </c>
      <c r="M46" s="7">
        <v>11.6</v>
      </c>
      <c r="N46" s="7">
        <v>11.7</v>
      </c>
    </row>
    <row r="47" spans="1:14" ht="13.5">
      <c r="A47" s="1">
        <v>37</v>
      </c>
      <c r="B47" s="1" t="s">
        <v>44</v>
      </c>
      <c r="D47" s="6">
        <v>605</v>
      </c>
      <c r="E47" s="6">
        <v>485</v>
      </c>
      <c r="F47" s="7">
        <v>10.7</v>
      </c>
      <c r="G47" s="7">
        <v>10.7</v>
      </c>
      <c r="H47" s="7">
        <v>15.2</v>
      </c>
      <c r="I47" s="7">
        <v>9.96</v>
      </c>
      <c r="J47" s="7">
        <v>9.96</v>
      </c>
      <c r="K47" s="7">
        <v>9.95</v>
      </c>
      <c r="L47" s="7">
        <v>12.4</v>
      </c>
      <c r="M47" s="7">
        <v>11.2</v>
      </c>
      <c r="N47" s="7">
        <v>7.36</v>
      </c>
    </row>
    <row r="48" spans="1:13" ht="13.5">
      <c r="A48" s="1">
        <v>38</v>
      </c>
      <c r="D48" s="6"/>
      <c r="E48" s="6"/>
      <c r="F48" s="7"/>
      <c r="G48" s="7"/>
      <c r="H48" s="7"/>
      <c r="I48" s="7"/>
      <c r="J48" s="7"/>
      <c r="L48" s="7"/>
      <c r="M48" s="7"/>
    </row>
    <row r="49" spans="1:13" ht="13.5">
      <c r="A49" s="1">
        <v>39</v>
      </c>
      <c r="D49" s="6"/>
      <c r="E49" s="6"/>
      <c r="F49" s="7"/>
      <c r="G49" s="7"/>
      <c r="H49" s="7"/>
      <c r="I49" s="7"/>
      <c r="J49" s="7"/>
      <c r="L49" s="7"/>
      <c r="M49" s="7"/>
    </row>
    <row r="50" spans="1:13" ht="13.5">
      <c r="A50" s="1">
        <v>40</v>
      </c>
      <c r="D50" s="6"/>
      <c r="E50" s="6"/>
      <c r="F50" s="7"/>
      <c r="G50" s="7"/>
      <c r="H50" s="7"/>
      <c r="I50" s="7"/>
      <c r="J50" s="7"/>
      <c r="L50" s="7"/>
      <c r="M50" s="7"/>
    </row>
    <row r="51" spans="1:13" ht="13.5">
      <c r="A51" s="1">
        <v>41</v>
      </c>
      <c r="D51" s="6"/>
      <c r="E51" s="6"/>
      <c r="F51" s="7"/>
      <c r="G51" s="7"/>
      <c r="H51" s="7"/>
      <c r="I51" s="7"/>
      <c r="J51" s="7"/>
      <c r="L51" s="7"/>
      <c r="M51" s="7"/>
    </row>
    <row r="52" spans="1:13" ht="13.5">
      <c r="A52" s="1">
        <v>42</v>
      </c>
      <c r="D52" s="6"/>
      <c r="E52" s="6"/>
      <c r="F52" s="7"/>
      <c r="G52" s="7"/>
      <c r="H52" s="7"/>
      <c r="I52" s="7"/>
      <c r="J52" s="7"/>
      <c r="L52" s="7"/>
      <c r="M52" s="7"/>
    </row>
    <row r="53" spans="1:13" ht="13.5">
      <c r="A53" s="1">
        <v>43</v>
      </c>
      <c r="D53" s="6"/>
      <c r="E53" s="6"/>
      <c r="F53" s="7"/>
      <c r="G53" s="7"/>
      <c r="H53" s="7"/>
      <c r="I53" s="7"/>
      <c r="J53" s="7"/>
      <c r="L53" s="7"/>
      <c r="M53" s="7"/>
    </row>
    <row r="54" spans="1:13" ht="13.5">
      <c r="A54" s="1">
        <v>44</v>
      </c>
      <c r="D54" s="6"/>
      <c r="E54" s="6"/>
      <c r="F54" s="7"/>
      <c r="G54" s="7"/>
      <c r="H54" s="7"/>
      <c r="I54" s="7"/>
      <c r="J54" s="7"/>
      <c r="L54" s="7"/>
      <c r="M54" s="7"/>
    </row>
    <row r="55" spans="1:13" ht="13.5">
      <c r="A55" s="1">
        <v>45</v>
      </c>
      <c r="D55" s="6"/>
      <c r="E55" s="6"/>
      <c r="F55" s="7"/>
      <c r="G55" s="7"/>
      <c r="H55" s="7"/>
      <c r="I55" s="7"/>
      <c r="J55" s="7"/>
      <c r="L55" s="7"/>
      <c r="M55" s="7"/>
    </row>
    <row r="56" spans="1:13" ht="13.5">
      <c r="A56" s="1">
        <v>46</v>
      </c>
      <c r="D56" s="6"/>
      <c r="E56" s="6"/>
      <c r="F56" s="7"/>
      <c r="G56" s="7"/>
      <c r="H56" s="7"/>
      <c r="I56" s="7"/>
      <c r="J56" s="7"/>
      <c r="L56" s="7"/>
      <c r="M56" s="7"/>
    </row>
    <row r="57" spans="1:13" ht="13.5">
      <c r="A57" s="1">
        <v>47</v>
      </c>
      <c r="D57" s="6"/>
      <c r="E57" s="6"/>
      <c r="F57" s="7"/>
      <c r="G57" s="7"/>
      <c r="H57" s="7"/>
      <c r="I57" s="7"/>
      <c r="J57" s="7"/>
      <c r="L57" s="7"/>
      <c r="M57" s="7"/>
    </row>
    <row r="58" spans="1:13" ht="13.5">
      <c r="A58" s="1">
        <v>48</v>
      </c>
      <c r="D58" s="6"/>
      <c r="E58" s="6"/>
      <c r="F58" s="7"/>
      <c r="G58" s="7"/>
      <c r="H58" s="7"/>
      <c r="I58" s="7"/>
      <c r="J58" s="7"/>
      <c r="L58" s="7"/>
      <c r="M58" s="7"/>
    </row>
    <row r="59" spans="1:13" ht="13.5">
      <c r="A59" s="1">
        <v>49</v>
      </c>
      <c r="D59" s="6"/>
      <c r="E59" s="6"/>
      <c r="F59" s="7"/>
      <c r="G59" s="7"/>
      <c r="H59" s="7"/>
      <c r="I59" s="7"/>
      <c r="J59" s="7"/>
      <c r="L59" s="7"/>
      <c r="M59" s="7"/>
    </row>
    <row r="60" spans="1:13" ht="13.5">
      <c r="A60" s="1">
        <v>50</v>
      </c>
      <c r="D60" s="6"/>
      <c r="E60" s="6"/>
      <c r="F60" s="7"/>
      <c r="G60" s="7"/>
      <c r="H60" s="7"/>
      <c r="I60" s="7"/>
      <c r="J60" s="7"/>
      <c r="L60" s="7"/>
      <c r="M60" s="7"/>
    </row>
    <row r="61" spans="1:13" ht="13.5">
      <c r="A61" s="1">
        <v>51</v>
      </c>
      <c r="D61" s="6"/>
      <c r="E61" s="6"/>
      <c r="F61" s="7"/>
      <c r="G61" s="7"/>
      <c r="H61" s="7"/>
      <c r="I61" s="7"/>
      <c r="J61" s="7"/>
      <c r="L61" s="7"/>
      <c r="M61" s="7"/>
    </row>
    <row r="62" spans="1:13" ht="13.5">
      <c r="A62" s="1">
        <v>52</v>
      </c>
      <c r="D62" s="6"/>
      <c r="E62" s="6"/>
      <c r="F62" s="7"/>
      <c r="G62" s="7"/>
      <c r="H62" s="7"/>
      <c r="I62" s="7"/>
      <c r="J62" s="7"/>
      <c r="L62" s="7"/>
      <c r="M62" s="7"/>
    </row>
    <row r="63" spans="1:13" ht="13.5">
      <c r="A63" s="1">
        <v>53</v>
      </c>
      <c r="D63" s="6"/>
      <c r="E63" s="6"/>
      <c r="F63" s="7"/>
      <c r="G63" s="7"/>
      <c r="H63" s="7"/>
      <c r="I63" s="7"/>
      <c r="J63" s="7"/>
      <c r="L63" s="7"/>
      <c r="M63" s="7"/>
    </row>
    <row r="64" spans="1:13" ht="13.5">
      <c r="A64" s="1">
        <v>54</v>
      </c>
      <c r="D64" s="6"/>
      <c r="E64" s="6"/>
      <c r="F64" s="7"/>
      <c r="G64" s="7"/>
      <c r="H64" s="7"/>
      <c r="I64" s="7"/>
      <c r="J64" s="7"/>
      <c r="L64" s="7"/>
      <c r="M64" s="7"/>
    </row>
    <row r="65" spans="1:13" ht="13.5">
      <c r="A65" s="1">
        <v>55</v>
      </c>
      <c r="D65" s="6"/>
      <c r="E65" s="6"/>
      <c r="F65" s="7"/>
      <c r="G65" s="7"/>
      <c r="H65" s="7"/>
      <c r="I65" s="7"/>
      <c r="J65" s="7"/>
      <c r="L65" s="7"/>
      <c r="M65" s="7"/>
    </row>
    <row r="66" spans="1:13" ht="13.5">
      <c r="A66" s="1">
        <v>56</v>
      </c>
      <c r="D66" s="6"/>
      <c r="E66" s="6"/>
      <c r="F66" s="7"/>
      <c r="G66" s="7"/>
      <c r="H66" s="7"/>
      <c r="I66" s="7"/>
      <c r="J66" s="7"/>
      <c r="L66" s="7"/>
      <c r="M66" s="7"/>
    </row>
    <row r="67" spans="1:13" ht="13.5">
      <c r="A67" s="1">
        <v>57</v>
      </c>
      <c r="D67" s="6"/>
      <c r="E67" s="6"/>
      <c r="F67" s="7"/>
      <c r="G67" s="7"/>
      <c r="H67" s="7"/>
      <c r="I67" s="7"/>
      <c r="J67" s="7"/>
      <c r="L67" s="7"/>
      <c r="M67" s="7"/>
    </row>
    <row r="68" spans="1:13" ht="13.5">
      <c r="A68" s="1">
        <v>58</v>
      </c>
      <c r="D68" s="6"/>
      <c r="E68" s="6"/>
      <c r="F68" s="7"/>
      <c r="G68" s="7"/>
      <c r="H68" s="7"/>
      <c r="I68" s="7"/>
      <c r="J68" s="7"/>
      <c r="L68" s="7"/>
      <c r="M68" s="7"/>
    </row>
    <row r="69" spans="1:13" ht="13.5">
      <c r="A69" s="1">
        <v>59</v>
      </c>
      <c r="D69" s="6"/>
      <c r="E69" s="6"/>
      <c r="F69" s="7"/>
      <c r="G69" s="7"/>
      <c r="H69" s="7"/>
      <c r="I69" s="7"/>
      <c r="J69" s="7"/>
      <c r="L69" s="7"/>
      <c r="M69" s="7"/>
    </row>
    <row r="70" spans="1:13" ht="13.5">
      <c r="A70" s="1">
        <v>60</v>
      </c>
      <c r="D70" s="6"/>
      <c r="E70" s="6"/>
      <c r="F70" s="7"/>
      <c r="G70" s="7"/>
      <c r="H70" s="7"/>
      <c r="I70" s="7"/>
      <c r="J70" s="7"/>
      <c r="L70" s="7"/>
      <c r="M70" s="7"/>
    </row>
    <row r="71" spans="1:13" ht="13.5">
      <c r="A71" s="1">
        <v>61</v>
      </c>
      <c r="D71" s="6"/>
      <c r="E71" s="6"/>
      <c r="F71" s="7"/>
      <c r="G71" s="7"/>
      <c r="H71" s="7"/>
      <c r="I71" s="7"/>
      <c r="J71" s="7"/>
      <c r="L71" s="7"/>
      <c r="M71" s="7"/>
    </row>
    <row r="72" spans="1:13" ht="13.5">
      <c r="A72" s="1">
        <v>62</v>
      </c>
      <c r="D72" s="6"/>
      <c r="E72" s="6"/>
      <c r="F72" s="7"/>
      <c r="G72" s="7"/>
      <c r="H72" s="7"/>
      <c r="I72" s="7"/>
      <c r="J72" s="7"/>
      <c r="L72" s="7"/>
      <c r="M72" s="7"/>
    </row>
    <row r="73" spans="1:14" ht="13.5">
      <c r="A73" s="1">
        <v>63</v>
      </c>
      <c r="D73" s="6"/>
      <c r="E73" s="6"/>
      <c r="F73" s="7"/>
      <c r="G73" s="7"/>
      <c r="H73" s="7"/>
      <c r="I73" s="7"/>
      <c r="J73" s="7"/>
      <c r="K73" s="7"/>
      <c r="L73" s="7"/>
      <c r="M73" s="7"/>
      <c r="N73" s="7"/>
    </row>
    <row r="74" spans="1:14" ht="13.5">
      <c r="A74" s="1">
        <v>64</v>
      </c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</row>
    <row r="75" spans="1:14" ht="13.5">
      <c r="A75" s="1">
        <v>65</v>
      </c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</row>
    <row r="76" spans="1:14" ht="13.5">
      <c r="A76" s="1">
        <v>66</v>
      </c>
      <c r="D76" s="6"/>
      <c r="E76" s="6"/>
      <c r="F76" s="7"/>
      <c r="G76" s="7"/>
      <c r="H76" s="7"/>
      <c r="I76" s="7"/>
      <c r="J76" s="7"/>
      <c r="K76" s="7"/>
      <c r="L76" s="7"/>
      <c r="M76" s="7"/>
      <c r="N76" s="7"/>
    </row>
    <row r="77" spans="1:14" ht="13.5">
      <c r="A77" s="1">
        <v>67</v>
      </c>
      <c r="D77" s="6"/>
      <c r="E77" s="6"/>
      <c r="F77" s="7"/>
      <c r="G77" s="7"/>
      <c r="H77" s="7"/>
      <c r="I77" s="7"/>
      <c r="J77" s="7"/>
      <c r="K77" s="7"/>
      <c r="L77" s="7"/>
      <c r="M77" s="7"/>
      <c r="N77" s="7"/>
    </row>
    <row r="78" spans="1:14" ht="13.5">
      <c r="A78" s="1">
        <v>68</v>
      </c>
      <c r="D78" s="6"/>
      <c r="E78" s="6"/>
      <c r="F78" s="7"/>
      <c r="G78" s="7"/>
      <c r="H78" s="7"/>
      <c r="I78" s="7"/>
      <c r="J78" s="7"/>
      <c r="K78" s="7"/>
      <c r="L78" s="7"/>
      <c r="M78" s="7"/>
      <c r="N78" s="7"/>
    </row>
    <row r="79" spans="1:14" ht="13.5">
      <c r="A79" s="1">
        <v>69</v>
      </c>
      <c r="D79" s="6"/>
      <c r="E79" s="6"/>
      <c r="F79" s="7"/>
      <c r="G79" s="7"/>
      <c r="H79" s="7"/>
      <c r="I79" s="7"/>
      <c r="J79" s="7"/>
      <c r="K79" s="7"/>
      <c r="L79" s="7"/>
      <c r="M79" s="7"/>
      <c r="N79" s="7"/>
    </row>
    <row r="80" spans="1:14" ht="13.5">
      <c r="A80" s="1">
        <v>70</v>
      </c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</row>
    <row r="81" spans="1:14" ht="13.5">
      <c r="A81" s="1">
        <v>71</v>
      </c>
      <c r="D81" s="6"/>
      <c r="E81" s="6"/>
      <c r="F81" s="7"/>
      <c r="G81" s="7"/>
      <c r="H81" s="7"/>
      <c r="I81" s="7"/>
      <c r="J81" s="7"/>
      <c r="K81" s="7"/>
      <c r="L81" s="7"/>
      <c r="M81" s="7"/>
      <c r="N81" s="7"/>
    </row>
    <row r="82" spans="1:14" ht="13.5">
      <c r="A82" s="1">
        <v>72</v>
      </c>
      <c r="D82" s="6"/>
      <c r="E82" s="6"/>
      <c r="F82" s="7"/>
      <c r="G82" s="7"/>
      <c r="H82" s="7"/>
      <c r="I82" s="7"/>
      <c r="J82" s="7"/>
      <c r="K82" s="7"/>
      <c r="L82" s="7"/>
      <c r="M82" s="7"/>
      <c r="N82" s="7"/>
    </row>
    <row r="83" spans="1:14" ht="13.5">
      <c r="A83" s="1">
        <v>73</v>
      </c>
      <c r="D83" s="6"/>
      <c r="E83" s="6"/>
      <c r="F83" s="7"/>
      <c r="G83" s="7"/>
      <c r="H83" s="7"/>
      <c r="I83" s="7"/>
      <c r="J83" s="7"/>
      <c r="K83" s="7"/>
      <c r="L83" s="7"/>
      <c r="M83" s="7"/>
      <c r="N83" s="7"/>
    </row>
    <row r="84" spans="1:14" ht="13.5">
      <c r="A84" s="1">
        <v>74</v>
      </c>
      <c r="D84" s="6"/>
      <c r="E84" s="6"/>
      <c r="F84" s="7"/>
      <c r="G84" s="7"/>
      <c r="H84" s="7"/>
      <c r="I84" s="7"/>
      <c r="J84" s="7"/>
      <c r="K84" s="7"/>
      <c r="L84" s="7"/>
      <c r="M84" s="7"/>
      <c r="N84" s="7"/>
    </row>
    <row r="85" spans="1:14" ht="13.5">
      <c r="A85" s="1">
        <v>75</v>
      </c>
      <c r="D85" s="6"/>
      <c r="E85" s="6"/>
      <c r="F85" s="7"/>
      <c r="G85" s="7"/>
      <c r="H85" s="7"/>
      <c r="I85" s="7"/>
      <c r="J85" s="7"/>
      <c r="K85" s="7"/>
      <c r="L85" s="7"/>
      <c r="M85" s="7"/>
      <c r="N85" s="7"/>
    </row>
    <row r="86" spans="1:14" ht="13.5">
      <c r="A86" s="1">
        <v>76</v>
      </c>
      <c r="D86" s="6"/>
      <c r="E86" s="6"/>
      <c r="F86" s="7"/>
      <c r="G86" s="7"/>
      <c r="H86" s="7"/>
      <c r="I86" s="7"/>
      <c r="J86" s="7"/>
      <c r="K86" s="7"/>
      <c r="L86" s="7"/>
      <c r="M86" s="7"/>
      <c r="N86" s="7"/>
    </row>
    <row r="87" spans="1:14" ht="13.5">
      <c r="A87" s="1">
        <v>77</v>
      </c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</row>
    <row r="88" spans="1:14" ht="13.5">
      <c r="A88" s="1">
        <v>78</v>
      </c>
      <c r="D88" s="6"/>
      <c r="E88" s="6"/>
      <c r="F88" s="7"/>
      <c r="G88" s="7"/>
      <c r="H88" s="7"/>
      <c r="I88" s="7"/>
      <c r="J88" s="7"/>
      <c r="K88" s="7"/>
      <c r="L88" s="7"/>
      <c r="M88" s="7"/>
      <c r="N88" s="7"/>
    </row>
    <row r="89" spans="1:14" ht="13.5">
      <c r="A89" s="1">
        <v>79</v>
      </c>
      <c r="D89" s="6"/>
      <c r="E89" s="6"/>
      <c r="F89" s="7"/>
      <c r="G89" s="7"/>
      <c r="H89" s="7"/>
      <c r="I89" s="7"/>
      <c r="J89" s="7"/>
      <c r="K89" s="7"/>
      <c r="L89" s="7"/>
      <c r="M89" s="7"/>
      <c r="N89" s="7"/>
    </row>
    <row r="90" spans="1:14" ht="13.5">
      <c r="A90" s="1">
        <v>80</v>
      </c>
      <c r="D90" s="6"/>
      <c r="E90" s="6"/>
      <c r="F90" s="7"/>
      <c r="G90" s="7"/>
      <c r="H90" s="7"/>
      <c r="I90" s="7"/>
      <c r="J90" s="7"/>
      <c r="K90" s="7"/>
      <c r="L90" s="7"/>
      <c r="M90" s="7"/>
      <c r="N90" s="7"/>
    </row>
    <row r="91" spans="1:14" ht="13.5">
      <c r="A91" s="1">
        <v>81</v>
      </c>
      <c r="D91" s="6"/>
      <c r="E91" s="6"/>
      <c r="F91" s="7"/>
      <c r="G91" s="7"/>
      <c r="H91" s="7"/>
      <c r="I91" s="7"/>
      <c r="J91" s="7"/>
      <c r="K91" s="7"/>
      <c r="L91" s="7"/>
      <c r="M91" s="7"/>
      <c r="N91" s="7"/>
    </row>
    <row r="92" spans="1:14" ht="13.5">
      <c r="A92" s="1">
        <v>82</v>
      </c>
      <c r="D92" s="6"/>
      <c r="E92" s="6"/>
      <c r="F92" s="7"/>
      <c r="G92" s="7"/>
      <c r="H92" s="7"/>
      <c r="I92" s="7"/>
      <c r="J92" s="7"/>
      <c r="K92" s="7"/>
      <c r="L92" s="7"/>
      <c r="M92" s="7"/>
      <c r="N92" s="7"/>
    </row>
    <row r="93" spans="1:14" ht="13.5">
      <c r="A93" s="1">
        <v>83</v>
      </c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</row>
    <row r="94" spans="1:14" ht="13.5">
      <c r="A94" s="1">
        <v>84</v>
      </c>
      <c r="D94" s="6"/>
      <c r="E94" s="6"/>
      <c r="F94" s="7"/>
      <c r="G94" s="7"/>
      <c r="H94" s="7"/>
      <c r="I94" s="7"/>
      <c r="J94" s="7"/>
      <c r="K94" s="7"/>
      <c r="L94" s="7"/>
      <c r="M94" s="7"/>
      <c r="N94" s="7"/>
    </row>
    <row r="95" spans="1:14" ht="13.5">
      <c r="A95" s="1">
        <v>85</v>
      </c>
      <c r="D95" s="6"/>
      <c r="E95" s="6"/>
      <c r="F95" s="7"/>
      <c r="G95" s="7"/>
      <c r="H95" s="7"/>
      <c r="I95" s="7"/>
      <c r="J95" s="7"/>
      <c r="K95" s="7"/>
      <c r="L95" s="7"/>
      <c r="M95" s="7"/>
      <c r="N95" s="7"/>
    </row>
    <row r="96" spans="1:14" ht="13.5">
      <c r="A96" s="1">
        <v>86</v>
      </c>
      <c r="D96" s="6"/>
      <c r="E96" s="6"/>
      <c r="F96" s="7"/>
      <c r="G96" s="7"/>
      <c r="H96" s="7"/>
      <c r="I96" s="7"/>
      <c r="J96" s="7"/>
      <c r="K96" s="7"/>
      <c r="L96" s="7"/>
      <c r="M96" s="7"/>
      <c r="N96" s="7"/>
    </row>
    <row r="97" spans="1:14" ht="13.5">
      <c r="A97" s="1">
        <v>87</v>
      </c>
      <c r="D97" s="6"/>
      <c r="E97" s="6"/>
      <c r="F97" s="7"/>
      <c r="G97" s="7"/>
      <c r="H97" s="7"/>
      <c r="I97" s="7"/>
      <c r="J97" s="7"/>
      <c r="K97" s="7"/>
      <c r="L97" s="7"/>
      <c r="M97" s="7"/>
      <c r="N97" s="7"/>
    </row>
    <row r="98" spans="1:14" ht="13.5">
      <c r="A98" s="1">
        <v>88</v>
      </c>
      <c r="D98" s="6"/>
      <c r="E98" s="6"/>
      <c r="F98" s="7"/>
      <c r="G98" s="7"/>
      <c r="H98" s="7"/>
      <c r="I98" s="7"/>
      <c r="J98" s="7"/>
      <c r="K98" s="7"/>
      <c r="L98" s="7"/>
      <c r="M98" s="7"/>
      <c r="N98" s="7"/>
    </row>
    <row r="99" spans="1:14" ht="13.5">
      <c r="A99" s="1">
        <v>89</v>
      </c>
      <c r="D99" s="6"/>
      <c r="E99" s="6"/>
      <c r="F99" s="7"/>
      <c r="G99" s="7"/>
      <c r="H99" s="7"/>
      <c r="I99" s="7"/>
      <c r="J99" s="7"/>
      <c r="K99" s="7"/>
      <c r="L99" s="7"/>
      <c r="M99" s="7"/>
      <c r="N99" s="7"/>
    </row>
    <row r="100" spans="1:14" ht="13.5">
      <c r="A100" s="1">
        <v>90</v>
      </c>
      <c r="D100" s="6"/>
      <c r="E100" s="6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3.5">
      <c r="A101" s="1">
        <v>91</v>
      </c>
      <c r="D101" s="6"/>
      <c r="E101" s="6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3.5">
      <c r="A102" s="1">
        <v>92</v>
      </c>
      <c r="D102" s="6"/>
      <c r="E102" s="6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3.5">
      <c r="A103" s="1">
        <v>93</v>
      </c>
      <c r="D103" s="6"/>
      <c r="E103" s="6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3.5">
      <c r="A104" s="1">
        <v>94</v>
      </c>
      <c r="D104" s="6"/>
      <c r="E104" s="6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3.5">
      <c r="A105" s="1">
        <v>95</v>
      </c>
      <c r="D105" s="6"/>
      <c r="E105" s="6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3.5">
      <c r="A106" s="1">
        <v>96</v>
      </c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3.5">
      <c r="A107" s="1">
        <v>97</v>
      </c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3.5">
      <c r="A108" s="1">
        <v>98</v>
      </c>
      <c r="D108" s="6"/>
      <c r="E108" s="6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3.5">
      <c r="A109" s="1">
        <v>99</v>
      </c>
      <c r="D109" s="6"/>
      <c r="E109" s="6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3.5">
      <c r="A110" s="1">
        <v>100</v>
      </c>
      <c r="D110" s="6"/>
      <c r="E110" s="6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3.5">
      <c r="A111" s="1">
        <v>101</v>
      </c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3.5">
      <c r="A112" s="1">
        <v>102</v>
      </c>
      <c r="D112" s="6"/>
      <c r="E112" s="6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3.5">
      <c r="A113" s="1">
        <v>103</v>
      </c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3.5">
      <c r="A114" s="1">
        <v>104</v>
      </c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3.5">
      <c r="A115" s="1">
        <v>105</v>
      </c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3.5">
      <c r="A116" s="1">
        <v>106</v>
      </c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3.5">
      <c r="A117" s="1">
        <v>107</v>
      </c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3.5">
      <c r="A118" s="1">
        <v>108</v>
      </c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3.5">
      <c r="A119" s="1">
        <v>109</v>
      </c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3.5">
      <c r="A120" s="1">
        <v>110</v>
      </c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3.5">
      <c r="A121" s="1">
        <v>111</v>
      </c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3.5">
      <c r="A122" s="1">
        <v>112</v>
      </c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3.5">
      <c r="A123" s="1">
        <v>113</v>
      </c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3.5">
      <c r="A124" s="1">
        <v>114</v>
      </c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3.5">
      <c r="A125" s="1">
        <v>115</v>
      </c>
      <c r="D125" s="6"/>
      <c r="E125" s="6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3.5">
      <c r="A126" s="1">
        <v>116</v>
      </c>
      <c r="D126" s="6"/>
      <c r="E126" s="6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3.5">
      <c r="A127" s="1">
        <v>117</v>
      </c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3.5">
      <c r="A128" s="1">
        <v>118</v>
      </c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3.5">
      <c r="A129" s="1">
        <v>119</v>
      </c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3.5">
      <c r="A130" s="1">
        <v>120</v>
      </c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3.5">
      <c r="A131" s="1">
        <v>121</v>
      </c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3.5">
      <c r="A132" s="1">
        <v>122</v>
      </c>
      <c r="D132" s="6"/>
      <c r="E132" s="6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3.5">
      <c r="A133" s="1">
        <v>123</v>
      </c>
      <c r="D133" s="6"/>
      <c r="E133" s="6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3.5">
      <c r="A134" s="1">
        <v>124</v>
      </c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3.5">
      <c r="A135" s="1">
        <v>125</v>
      </c>
      <c r="D135" s="6"/>
      <c r="E135" s="6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3.5">
      <c r="A136" s="1">
        <v>126</v>
      </c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3.5">
      <c r="A137" s="1">
        <v>127</v>
      </c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3.5">
      <c r="A138" s="1">
        <v>128</v>
      </c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3.5">
      <c r="A139" s="1">
        <v>129</v>
      </c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3.5">
      <c r="A140" s="1">
        <v>130</v>
      </c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3.5">
      <c r="A141" s="1">
        <v>131</v>
      </c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3.5">
      <c r="A142" s="1">
        <v>132</v>
      </c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3.5">
      <c r="A143" s="1">
        <v>133</v>
      </c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3.5">
      <c r="A144" s="1">
        <v>134</v>
      </c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3.5">
      <c r="A145" s="1">
        <v>135</v>
      </c>
      <c r="D145" s="6"/>
      <c r="E145" s="6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3.5">
      <c r="A146" s="1">
        <v>136</v>
      </c>
      <c r="D146" s="6"/>
      <c r="E146" s="6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3.5">
      <c r="A147" s="1">
        <v>137</v>
      </c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3.5">
      <c r="A148" s="1">
        <v>138</v>
      </c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3.5">
      <c r="A149" s="1">
        <v>139</v>
      </c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3.5">
      <c r="A150" s="1">
        <v>140</v>
      </c>
      <c r="D150" s="6"/>
      <c r="E150" s="6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3.5">
      <c r="A151" s="1">
        <v>141</v>
      </c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3.5">
      <c r="A152" s="1">
        <v>142</v>
      </c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3.5">
      <c r="A153" s="1">
        <v>143</v>
      </c>
      <c r="D153" s="6"/>
      <c r="E153" s="6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3.5">
      <c r="A154" s="1">
        <v>144</v>
      </c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3.5">
      <c r="A155" s="1">
        <v>145</v>
      </c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3.5">
      <c r="A156" s="1">
        <v>146</v>
      </c>
      <c r="D156" s="6"/>
      <c r="E156" s="6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3.5">
      <c r="A157" s="1">
        <v>147</v>
      </c>
      <c r="D157" s="6"/>
      <c r="E157" s="6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3.5">
      <c r="A158" s="1">
        <v>148</v>
      </c>
      <c r="D158" s="6"/>
      <c r="E158" s="6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3.5">
      <c r="A159" s="1">
        <v>149</v>
      </c>
      <c r="D159" s="6"/>
      <c r="E159" s="6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3.5">
      <c r="A160" s="1">
        <v>150</v>
      </c>
      <c r="D160" s="6"/>
      <c r="E160" s="6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3.5">
      <c r="A161" s="1">
        <v>151</v>
      </c>
      <c r="D161" s="6"/>
      <c r="E161" s="6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3.5">
      <c r="A162" s="1">
        <v>152</v>
      </c>
      <c r="D162" s="6"/>
      <c r="E162" s="6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3.5">
      <c r="A163" s="1">
        <v>153</v>
      </c>
      <c r="D163" s="6"/>
      <c r="E163" s="6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3.5">
      <c r="A164" s="1">
        <v>154</v>
      </c>
      <c r="D164" s="6"/>
      <c r="E164" s="6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3.5">
      <c r="A165" s="1">
        <v>155</v>
      </c>
      <c r="D165" s="6"/>
      <c r="E165" s="6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3.5">
      <c r="A166" s="1">
        <v>156</v>
      </c>
      <c r="D166" s="6"/>
      <c r="E166" s="6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3.5">
      <c r="A167" s="1">
        <v>157</v>
      </c>
      <c r="D167" s="6"/>
      <c r="E167" s="6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3.5">
      <c r="A168" s="1">
        <v>158</v>
      </c>
      <c r="D168" s="6"/>
      <c r="E168" s="6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3.5">
      <c r="A169" s="1">
        <v>159</v>
      </c>
      <c r="D169" s="6"/>
      <c r="E169" s="6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3.5">
      <c r="A170" s="1">
        <v>160</v>
      </c>
      <c r="D170" s="6"/>
      <c r="E170" s="6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3.5">
      <c r="A171" s="1">
        <v>161</v>
      </c>
      <c r="D171" s="6"/>
      <c r="E171" s="6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3.5">
      <c r="A172" s="1">
        <v>162</v>
      </c>
      <c r="D172" s="6"/>
      <c r="E172" s="6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3.5">
      <c r="A173" s="1">
        <v>163</v>
      </c>
      <c r="D173" s="6"/>
      <c r="E173" s="6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3.5">
      <c r="A174" s="1">
        <v>164</v>
      </c>
      <c r="D174" s="6"/>
      <c r="E174" s="6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3.5">
      <c r="A175" s="1">
        <v>165</v>
      </c>
      <c r="D175" s="6"/>
      <c r="E175" s="6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3.5">
      <c r="A176" s="1">
        <v>166</v>
      </c>
      <c r="D176" s="6"/>
      <c r="E176" s="6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3.5">
      <c r="A177" s="1">
        <v>167</v>
      </c>
      <c r="D177" s="6"/>
      <c r="E177" s="6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3.5">
      <c r="A178" s="1">
        <v>168</v>
      </c>
      <c r="D178" s="6"/>
      <c r="E178" s="6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3.5">
      <c r="A179" s="1">
        <v>169</v>
      </c>
      <c r="D179" s="6"/>
      <c r="E179" s="6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3.5">
      <c r="A180" s="1">
        <v>170</v>
      </c>
      <c r="D180" s="6"/>
      <c r="E180" s="6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3.5">
      <c r="A181" s="1">
        <v>171</v>
      </c>
      <c r="D181" s="6"/>
      <c r="E181" s="6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3.5">
      <c r="A182" s="1">
        <v>172</v>
      </c>
      <c r="D182" s="6"/>
      <c r="E182" s="6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3.5">
      <c r="A183" s="1">
        <v>173</v>
      </c>
      <c r="D183" s="6"/>
      <c r="E183" s="6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3.5">
      <c r="A184" s="1">
        <v>174</v>
      </c>
      <c r="D184" s="6"/>
      <c r="E184" s="6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3.5">
      <c r="A185" s="1">
        <v>175</v>
      </c>
      <c r="D185" s="6"/>
      <c r="E185" s="6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3.5">
      <c r="A186" s="1">
        <v>176</v>
      </c>
      <c r="D186" s="6"/>
      <c r="E186" s="6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3.5">
      <c r="A187" s="1">
        <v>177</v>
      </c>
      <c r="D187" s="6"/>
      <c r="E187" s="6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3.5">
      <c r="A188" s="1">
        <v>178</v>
      </c>
      <c r="D188" s="6"/>
      <c r="E188" s="6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3.5">
      <c r="A189" s="1">
        <v>179</v>
      </c>
      <c r="D189" s="6"/>
      <c r="E189" s="6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3.5">
      <c r="A190" s="1">
        <v>180</v>
      </c>
      <c r="D190" s="6"/>
      <c r="E190" s="6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3.5">
      <c r="A191" s="1">
        <v>181</v>
      </c>
      <c r="D191" s="6"/>
      <c r="E191" s="6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3.5">
      <c r="A192" s="1">
        <v>182</v>
      </c>
      <c r="D192" s="6"/>
      <c r="E192" s="6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3.5">
      <c r="A193" s="1">
        <v>183</v>
      </c>
      <c r="D193" s="6"/>
      <c r="E193" s="6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3.5">
      <c r="A194" s="1">
        <v>184</v>
      </c>
      <c r="D194" s="6"/>
      <c r="E194" s="6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3.5">
      <c r="A195" s="1">
        <v>185</v>
      </c>
      <c r="D195" s="6"/>
      <c r="E195" s="6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3.5">
      <c r="A196" s="1">
        <v>186</v>
      </c>
      <c r="D196" s="6"/>
      <c r="E196" s="6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3.5">
      <c r="A197" s="1">
        <v>187</v>
      </c>
      <c r="D197" s="6"/>
      <c r="E197" s="6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3.5">
      <c r="A198" s="1">
        <v>188</v>
      </c>
      <c r="D198" s="6"/>
      <c r="E198" s="6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3.5">
      <c r="A199" s="1">
        <v>189</v>
      </c>
      <c r="D199" s="6"/>
      <c r="E199" s="6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3.5">
      <c r="A200" s="1">
        <v>190</v>
      </c>
      <c r="D200" s="6"/>
      <c r="E200" s="6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3.5">
      <c r="A201" s="1">
        <v>191</v>
      </c>
      <c r="D201" s="6"/>
      <c r="E201" s="6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3.5">
      <c r="A202" s="1">
        <v>192</v>
      </c>
      <c r="D202" s="6"/>
      <c r="E202" s="6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3.5">
      <c r="A203" s="1">
        <v>193</v>
      </c>
      <c r="D203" s="6"/>
      <c r="E203" s="6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3.5">
      <c r="A204" s="1">
        <v>194</v>
      </c>
      <c r="D204" s="6"/>
      <c r="E204" s="6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3.5">
      <c r="A205" s="1">
        <v>195</v>
      </c>
      <c r="D205" s="6"/>
      <c r="E205" s="6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3.5">
      <c r="A206" s="1">
        <v>196</v>
      </c>
      <c r="D206" s="6"/>
      <c r="E206" s="6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3.5">
      <c r="A207" s="1">
        <v>197</v>
      </c>
      <c r="D207" s="6"/>
      <c r="E207" s="6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3.5">
      <c r="A208" s="1">
        <v>198</v>
      </c>
      <c r="D208" s="6"/>
      <c r="E208" s="6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3.5">
      <c r="A209" s="1">
        <v>199</v>
      </c>
      <c r="D209" s="6"/>
      <c r="E209" s="6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3.5">
      <c r="A210" s="1">
        <v>200</v>
      </c>
      <c r="D210" s="6"/>
      <c r="E210" s="6"/>
      <c r="F210" s="7"/>
      <c r="G210" s="7"/>
      <c r="H210" s="7"/>
      <c r="I210" s="7"/>
      <c r="J210" s="7"/>
      <c r="K210" s="7"/>
      <c r="L210" s="7"/>
      <c r="M210" s="7"/>
      <c r="N210" s="7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27" sqref="A27:IV27"/>
    </sheetView>
  </sheetViews>
  <sheetFormatPr defaultColWidth="9.00390625" defaultRowHeight="14.25"/>
  <cols>
    <col min="1" max="1" width="3.25390625" style="1" customWidth="1"/>
    <col min="2" max="2" width="6.50390625" style="1" customWidth="1"/>
    <col min="3" max="3" width="4.50390625" style="1" customWidth="1"/>
    <col min="4" max="5" width="9.00390625" style="1" customWidth="1"/>
    <col min="6" max="14" width="10.625" style="1" customWidth="1"/>
    <col min="15" max="16384" width="9.00390625" style="1" customWidth="1"/>
  </cols>
  <sheetData>
    <row r="1" spans="5:14" ht="13.5">
      <c r="E1" s="1" t="str">
        <f>INDEX('測定結果'!$A:$XFD,ROW(),COLUMN())</f>
        <v>測定点</v>
      </c>
      <c r="F1" s="1" t="str">
        <f>INDEX('測定結果'!$A:$XFD,ROW(),COLUMN())</f>
        <v>1cm</v>
      </c>
      <c r="G1" s="1" t="str">
        <f>INDEX('測定結果'!$A:$XFD,ROW(),COLUMN())</f>
        <v>1m</v>
      </c>
      <c r="H1" s="1" t="str">
        <f>INDEX('測定結果'!$A:$XFD,ROW(),COLUMN())</f>
        <v>2m</v>
      </c>
      <c r="I1" s="1" t="str">
        <f>INDEX('測定結果'!$A:$XFD,ROW(),COLUMN())</f>
        <v>1cm</v>
      </c>
      <c r="J1" s="1" t="str">
        <f>INDEX('測定結果'!$A:$XFD,ROW(),COLUMN())</f>
        <v>1m</v>
      </c>
      <c r="K1" s="1" t="str">
        <f>INDEX('測定結果'!$A:$XFD,ROW(),COLUMN())</f>
        <v>2m</v>
      </c>
      <c r="L1" s="1" t="str">
        <f>INDEX('測定結果'!$A:$XFD,ROW(),COLUMN())</f>
        <v>1cm</v>
      </c>
      <c r="M1" s="1" t="str">
        <f>INDEX('測定結果'!$A:$XFD,ROW(),COLUMN())</f>
        <v>1m</v>
      </c>
      <c r="N1" s="1" t="str">
        <f>INDEX('測定結果'!$A:$XFD,ROW(),COLUMN())</f>
        <v>2m</v>
      </c>
    </row>
    <row r="2" spans="5:14" ht="13.5">
      <c r="E2" s="1" t="str">
        <f>INDEX('測定結果'!$A:$XFD,ROW(),COLUMN())</f>
        <v>測定器1</v>
      </c>
      <c r="F2" s="1" t="str">
        <f>INDEX('測定結果'!$A:$XFD,ROW(),COLUMN())</f>
        <v>Polimaster PM-1610</v>
      </c>
      <c r="G2" s="1" t="str">
        <f>INDEX('測定結果'!$A:$XFD,ROW(),COLUMN())</f>
        <v>Polimaster PM-1610</v>
      </c>
      <c r="H2" s="1" t="str">
        <f>INDEX('測定結果'!$A:$XFD,ROW(),COLUMN())</f>
        <v>Polimaster PM-1610</v>
      </c>
      <c r="I2" s="1" t="str">
        <f>INDEX('測定結果'!$A:$XFD,ROW(),COLUMN())</f>
        <v>Polimaster PM-1610</v>
      </c>
      <c r="J2" s="1" t="str">
        <f>INDEX('測定結果'!$A:$XFD,ROW(),COLUMN())</f>
        <v>Polimaster PM-1610</v>
      </c>
      <c r="K2" s="1" t="str">
        <f>INDEX('測定結果'!$A:$XFD,ROW(),COLUMN())</f>
        <v>Polimaster PM-1610</v>
      </c>
      <c r="L2" s="1" t="str">
        <f>INDEX('測定結果'!$A:$XFD,ROW(),COLUMN())</f>
        <v>Polimaster PM-1610</v>
      </c>
      <c r="M2" s="1" t="str">
        <f>INDEX('測定結果'!$A:$XFD,ROW(),COLUMN())</f>
        <v>Polimaster PM-1610</v>
      </c>
      <c r="N2" s="1" t="str">
        <f>INDEX('測定結果'!$A:$XFD,ROW(),COLUMN())</f>
        <v>Polimaster PM-1610</v>
      </c>
    </row>
    <row r="3" spans="5:14" ht="13.5">
      <c r="E3" s="1" t="str">
        <f>INDEX('測定結果'!$A:$XFD,ROW(),COLUMN())</f>
        <v>測定器2</v>
      </c>
      <c r="F3" s="1">
        <f>INDEX('測定結果'!$A:$XFD,ROW(),COLUMN())</f>
        <v>0</v>
      </c>
      <c r="G3" s="1">
        <f>INDEX('測定結果'!$A:$XFD,ROW(),COLUMN())</f>
        <v>0</v>
      </c>
      <c r="H3" s="1">
        <f>INDEX('測定結果'!$A:$XFD,ROW(),COLUMN())</f>
        <v>0</v>
      </c>
      <c r="I3" s="1">
        <f>INDEX('測定結果'!$A:$XFD,ROW(),COLUMN())</f>
        <v>0</v>
      </c>
      <c r="J3" s="1">
        <f>INDEX('測定結果'!$A:$XFD,ROW(),COLUMN())</f>
        <v>0</v>
      </c>
      <c r="K3" s="1">
        <f>INDEX('測定結果'!$A:$XFD,ROW(),COLUMN())</f>
        <v>0</v>
      </c>
      <c r="L3" s="1">
        <f>INDEX('測定結果'!$A:$XFD,ROW(),COLUMN())</f>
        <v>0</v>
      </c>
      <c r="M3" s="1">
        <f>INDEX('測定結果'!$A:$XFD,ROW(),COLUMN())</f>
        <v>0</v>
      </c>
      <c r="N3" s="1">
        <f>INDEX('測定結果'!$A:$XFD,ROW(),COLUMN())</f>
        <v>0</v>
      </c>
    </row>
    <row r="4" spans="5:14" ht="13.5">
      <c r="E4" s="1" t="str">
        <f>INDEX('測定結果'!$A:$XFD,ROW(),COLUMN())</f>
        <v>測定日</v>
      </c>
      <c r="F4" s="14">
        <f>INDEX('測定結果'!$A:$XFD,ROW(),COLUMN())</f>
        <v>40873</v>
      </c>
      <c r="G4" s="14">
        <f>INDEX('測定結果'!$A:$XFD,ROW(),COLUMN())</f>
        <v>40873</v>
      </c>
      <c r="H4" s="14">
        <f>INDEX('測定結果'!$A:$XFD,ROW(),COLUMN())</f>
        <v>40873</v>
      </c>
      <c r="I4" s="14">
        <f>INDEX('測定結果'!$A:$XFD,ROW(),COLUMN())</f>
        <v>40986</v>
      </c>
      <c r="J4" s="14">
        <f>INDEX('測定結果'!$A:$XFD,ROW(),COLUMN())</f>
        <v>40986</v>
      </c>
      <c r="K4" s="14">
        <f>INDEX('測定結果'!$A:$XFD,ROW(),COLUMN())</f>
        <v>40986</v>
      </c>
      <c r="L4" s="14">
        <f>INDEX('測定結果'!$A:$XFD,ROW(),COLUMN())</f>
        <v>41055</v>
      </c>
      <c r="M4" s="14">
        <f>INDEX('測定結果'!$A:$XFD,ROW(),COLUMN())</f>
        <v>41055</v>
      </c>
      <c r="N4" s="14">
        <f>INDEX('測定結果'!$A:$XFD,ROW(),COLUMN())</f>
        <v>41055</v>
      </c>
    </row>
    <row r="5" spans="5:14" ht="13.5">
      <c r="E5" s="1" t="str">
        <f>INDEX('測定結果'!$A:$XFD,ROW(),COLUMN())</f>
        <v>測定時間</v>
      </c>
      <c r="F5" s="1" t="str">
        <f>INDEX('測定結果'!$A:$XFD,ROW(),COLUMN())</f>
        <v> 10:40～12:50</v>
      </c>
      <c r="G5" s="1" t="str">
        <f>INDEX('測定結果'!$A:$XFD,ROW(),COLUMN())</f>
        <v> 10:40～12:50</v>
      </c>
      <c r="H5" s="1" t="str">
        <f>INDEX('測定結果'!$A:$XFD,ROW(),COLUMN())</f>
        <v> 10:40～12:50</v>
      </c>
      <c r="I5" s="1" t="str">
        <f>INDEX('測定結果'!$A:$XFD,ROW(),COLUMN())</f>
        <v> 11:20～11:40</v>
      </c>
      <c r="J5" s="1" t="str">
        <f>INDEX('測定結果'!$A:$XFD,ROW(),COLUMN())</f>
        <v> 11:20～11:40</v>
      </c>
      <c r="K5" s="1" t="str">
        <f>INDEX('測定結果'!$A:$XFD,ROW(),COLUMN())</f>
        <v> 11:20～11:40</v>
      </c>
      <c r="L5" s="1" t="str">
        <f>INDEX('測定結果'!$A:$XFD,ROW(),COLUMN())</f>
        <v> 11:20～11:40</v>
      </c>
      <c r="M5" s="1" t="str">
        <f>INDEX('測定結果'!$A:$XFD,ROW(),COLUMN())</f>
        <v> 11:20～11:40</v>
      </c>
      <c r="N5" s="1" t="str">
        <f>INDEX('測定結果'!$A:$XFD,ROW(),COLUMN())</f>
        <v> 11:20～11:40</v>
      </c>
    </row>
    <row r="6" spans="5:14" ht="13.5">
      <c r="E6" s="1" t="str">
        <f>INDEX('測定結果'!$A:$XFD,ROW(),COLUMN())</f>
        <v>測定者</v>
      </c>
      <c r="F6" s="1" t="str">
        <f>INDEX('測定結果'!$A:$XFD,ROW(),COLUMN())</f>
        <v>きなやん、ゆーみん</v>
      </c>
      <c r="G6" s="1" t="str">
        <f>INDEX('測定結果'!$A:$XFD,ROW(),COLUMN())</f>
        <v>きなやん、ゆーみん</v>
      </c>
      <c r="H6" s="1" t="str">
        <f>INDEX('測定結果'!$A:$XFD,ROW(),COLUMN())</f>
        <v>きなやん、ゆーみん</v>
      </c>
      <c r="I6" s="1" t="str">
        <f>INDEX('測定結果'!$A:$XFD,ROW(),COLUMN())</f>
        <v>きなやん</v>
      </c>
      <c r="J6" s="1" t="str">
        <f>INDEX('測定結果'!$A:$XFD,ROW(),COLUMN())</f>
        <v>きなやん</v>
      </c>
      <c r="K6" s="1" t="str">
        <f>INDEX('測定結果'!$A:$XFD,ROW(),COLUMN())</f>
        <v>きなやん</v>
      </c>
      <c r="L6" s="1" t="str">
        <f>INDEX('測定結果'!$A:$XFD,ROW(),COLUMN())</f>
        <v>きなやん</v>
      </c>
      <c r="M6" s="1" t="str">
        <f>INDEX('測定結果'!$A:$XFD,ROW(),COLUMN())</f>
        <v>きなやん</v>
      </c>
      <c r="N6" s="1" t="str">
        <f>INDEX('測定結果'!$A:$XFD,ROW(),COLUMN())</f>
        <v>きなやん</v>
      </c>
    </row>
    <row r="7" spans="5:14" ht="13.5">
      <c r="E7" s="1" t="str">
        <f>INDEX('測定結果'!$A:$XFD,ROW(),COLUMN())</f>
        <v>記録作成</v>
      </c>
      <c r="F7" s="1" t="str">
        <f>INDEX('測定結果'!$A:$XFD,ROW(),COLUMN())</f>
        <v>xls-hashimoto</v>
      </c>
      <c r="G7" s="1" t="str">
        <f>INDEX('測定結果'!$A:$XFD,ROW(),COLUMN())</f>
        <v>xls-hashimoto</v>
      </c>
      <c r="H7" s="1" t="str">
        <f>INDEX('測定結果'!$A:$XFD,ROW(),COLUMN())</f>
        <v>xls-hashimoto</v>
      </c>
      <c r="I7" s="1" t="str">
        <f>INDEX('測定結果'!$A:$XFD,ROW(),COLUMN())</f>
        <v>xls-hashimoto</v>
      </c>
      <c r="J7" s="1" t="str">
        <f>INDEX('測定結果'!$A:$XFD,ROW(),COLUMN())</f>
        <v>xls-hashimoto</v>
      </c>
      <c r="K7" s="1" t="str">
        <f>INDEX('測定結果'!$A:$XFD,ROW(),COLUMN())</f>
        <v>xls-hashimoto</v>
      </c>
      <c r="L7" s="1" t="str">
        <f>INDEX('測定結果'!$A:$XFD,ROW(),COLUMN())</f>
        <v>xls-hashimoto</v>
      </c>
      <c r="M7" s="1" t="str">
        <f>INDEX('測定結果'!$A:$XFD,ROW(),COLUMN())</f>
        <v>xls-hashimoto</v>
      </c>
      <c r="N7" s="1" t="str">
        <f>INDEX('測定結果'!$A:$XFD,ROW(),COLUMN())</f>
        <v>xls-hashimoto</v>
      </c>
    </row>
    <row r="8" spans="5:14" ht="13.5">
      <c r="E8" s="1" t="str">
        <f>INDEX('測定結果'!$A:$XFD,ROW(),COLUMN())</f>
        <v>コメント</v>
      </c>
      <c r="F8" s="1" t="str">
        <f>INDEX('測定結果'!$A:$XFD,ROW(),COLUMN())</f>
        <v>①1階・2階の天井・壁・
 　床に雨漏り跡がある。
②雨漏り時の重量増加
 　のためか、天井が一
 　部落下している。
③1階台所天井部
 　(No.10)の線量率が高
 　い原因は、天井部の
 　雨漏り跡がなってい
 　る。</v>
      </c>
      <c r="G8" s="1" t="str">
        <f>INDEX('測定結果'!$A:$XFD,ROW(),COLUMN())</f>
        <v>①1階・2階の天井・壁・
 　床に雨漏り跡がある。
②雨漏り時の重量増加
 　のためか、天井が一
 　部落下している。
③1階台所天井部
 　(No.10)の線量率が高
 　い原因は、天井部の
 　雨漏り跡がなってい
 　る。</v>
      </c>
      <c r="H8" s="1" t="str">
        <f>INDEX('測定結果'!$A:$XFD,ROW(),COLUMN())</f>
        <v>①1階・2階の天井・壁・
 　床に雨漏り跡がある。
②雨漏り時の重量増加
 　のためか、天井が一
 　部落下している。
③1階台所天井部
 　(No.10)の線量率が高
 　い原因は、天井部の
 　雨漏り跡がなってい
 　る。</v>
      </c>
      <c r="I8" s="1">
        <f>INDEX('測定結果'!$A:$XFD,ROW(),COLUMN())</f>
        <v>0</v>
      </c>
      <c r="J8" s="1">
        <f>INDEX('測定結果'!$A:$XFD,ROW(),COLUMN())</f>
        <v>0</v>
      </c>
      <c r="K8" s="1">
        <f>INDEX('測定結果'!$A:$XFD,ROW(),COLUMN())</f>
        <v>0</v>
      </c>
      <c r="L8" s="1" t="str">
        <f>INDEX('測定結果'!$A:$XFD,ROW(),COLUMN())</f>
        <v>①3月と比べて天井の
 　落ちている量が約2倍
 　になっている。
②そして、落下材は腐っ
 　ている。
 　（3月よりひどい）
③カビは大きく広がり
 　壁一面真っ黒。
④前日の雨のためか
 　電灯ヒモから水滴
 　落下。（ポタポタ）
⑤雑感　家全体が腐っ
 　ている。
 　カビさんの天下！
⑥道路でケムシが
 　横断中。
 　放射能の世界にも
 　四季があった。</v>
      </c>
      <c r="M8" s="1" t="str">
        <f>INDEX('測定結果'!$A:$XFD,ROW(),COLUMN())</f>
        <v>①3月と比べて天井の
 　落ちている量が約2倍
 　になっている。
②そして、落下材は腐っ
 　ている。
 　（3月よりひどい）
③カビは大きく広がり
 　壁一面真っ黒。
④前日の雨のためか
 　電灯ヒモから水滴
 　落下。（ポタポタ）
⑤雑感　家全体が腐っ
 　ている。
 　カビさんの天下！
⑥道路でケムシが
 　横断中。
 　放射能の世界にも
 　四季があった。</v>
      </c>
      <c r="N8" s="1" t="str">
        <f>INDEX('測定結果'!$A:$XFD,ROW(),COLUMN())</f>
        <v>①3月と比べて天井の
 　落ちている量が約2倍
 　になっている。
②そして、落下材は腐っ
 　ている。
 　（3月よりひどい）
③カビは大きく広がり
 　壁一面真っ黒。
④前日の雨のためか
 　電灯ヒモから水滴
 　落下。（ポタポタ）
⑤雑感　家全体が腐っ
 　ている。
 　カビさんの天下！
⑥道路でケムシが
 　横断中。
 　放射能の世界にも
 　四季があった。</v>
      </c>
    </row>
    <row r="9" spans="1:14" ht="13.5">
      <c r="A9" s="1" t="str">
        <f>INDEX('測定結果'!$A:$XFD,ROW(),COLUMN())</f>
        <v>No.</v>
      </c>
      <c r="B9" s="1" t="str">
        <f>INDEX('測定結果'!$A:$XFD,ROW(),COLUMN())</f>
        <v>地点名</v>
      </c>
      <c r="C9" s="1" t="str">
        <f>INDEX('測定結果'!$A:$XFD,ROW(),COLUMN())</f>
        <v>備考</v>
      </c>
      <c r="D9" s="1" t="str">
        <f>INDEX('測定結果'!$A:$XFD,ROW(),COLUMN())</f>
        <v>Y軸</v>
      </c>
      <c r="E9" s="1" t="str">
        <f>INDEX('測定結果'!$A:$XFD,ROW(),COLUMN())</f>
        <v>X軸</v>
      </c>
      <c r="F9" s="1" t="str">
        <f>INDEX('測定結果'!$A:$XFD,ROW(),COLUMN())</f>
        <v>2回目</v>
      </c>
      <c r="G9" s="1" t="str">
        <f>INDEX('測定結果'!$A:$XFD,ROW(),COLUMN())</f>
        <v>2回目</v>
      </c>
      <c r="H9" s="1" t="str">
        <f>INDEX('測定結果'!$A:$XFD,ROW(),COLUMN())</f>
        <v>2回目</v>
      </c>
      <c r="I9" s="1" t="str">
        <f>INDEX('測定結果'!$A:$XFD,ROW(),COLUMN())</f>
        <v>3回目</v>
      </c>
      <c r="J9" s="1" t="str">
        <f>INDEX('測定結果'!$A:$XFD,ROW(),COLUMN())</f>
        <v>3回目</v>
      </c>
      <c r="K9" s="1" t="str">
        <f>INDEX('測定結果'!$A:$XFD,ROW(),COLUMN())</f>
        <v>3回目</v>
      </c>
      <c r="L9" s="1" t="str">
        <f>INDEX('測定結果'!$A:$XFD,ROW(),COLUMN())</f>
        <v>4回目</v>
      </c>
      <c r="M9" s="1" t="str">
        <f>INDEX('測定結果'!$A:$XFD,ROW(),COLUMN())</f>
        <v>4回目</v>
      </c>
      <c r="N9" s="1" t="str">
        <f>INDEX('測定結果'!$A:$XFD,ROW(),COLUMN())</f>
        <v>4回目</v>
      </c>
    </row>
    <row r="10" spans="1:14" ht="13.5">
      <c r="A10" s="1">
        <f>INDEX('測定結果'!$A:$XFD,ROW(),COLUMN())</f>
        <v>0</v>
      </c>
      <c r="B10" s="1" t="str">
        <f>INDEX('測定結果'!$A:$XFD,ROW(),COLUMN())</f>
        <v>最大値設定</v>
      </c>
      <c r="C10" s="1">
        <f>INDEX('測定結果'!$A:$XFD,ROW(),COLUMN())</f>
        <v>0</v>
      </c>
      <c r="D10" s="1">
        <f>INDEX('測定結果'!$A:$XFD,ROW(),COLUMN())</f>
        <v>0</v>
      </c>
      <c r="E10" s="1">
        <f>INDEX('測定結果'!$A:$XFD,ROW(),COLUMN())</f>
        <v>0</v>
      </c>
      <c r="F10" s="1">
        <f>INDEX('測定結果'!$A:$XFD,ROW(),COLUMN())</f>
        <v>30</v>
      </c>
      <c r="G10" s="1">
        <f>INDEX('測定結果'!$A:$XFD,ROW(),COLUMN())</f>
        <v>30</v>
      </c>
      <c r="H10" s="1">
        <f>INDEX('測定結果'!$A:$XFD,ROW(),COLUMN())</f>
        <v>30</v>
      </c>
      <c r="I10" s="1">
        <f>INDEX('測定結果'!$A:$XFD,ROW(),COLUMN())</f>
        <v>30</v>
      </c>
      <c r="J10" s="1">
        <f>INDEX('測定結果'!$A:$XFD,ROW(),COLUMN())</f>
        <v>30</v>
      </c>
      <c r="K10" s="1">
        <f>INDEX('測定結果'!$A:$XFD,ROW(),COLUMN())</f>
        <v>30</v>
      </c>
      <c r="L10" s="1">
        <f>INDEX('測定結果'!$A:$XFD,ROW(),COLUMN())</f>
        <v>30</v>
      </c>
      <c r="M10" s="1">
        <f>INDEX('測定結果'!$A:$XFD,ROW(),COLUMN())</f>
        <v>30</v>
      </c>
      <c r="N10" s="1">
        <f>INDEX('測定結果'!$A:$XFD,ROW(),COLUMN())</f>
        <v>30</v>
      </c>
    </row>
    <row r="11" spans="1:14" ht="13.5">
      <c r="A11" s="1">
        <f>INDEX('測定結果'!$A:$XFD,ROW(),COLUMN())</f>
        <v>1</v>
      </c>
      <c r="B11" s="1" t="str">
        <f>INDEX('測定結果'!$A:$XFD,ROW(),COLUMN())</f>
        <v>１階</v>
      </c>
      <c r="D11" s="1">
        <f>INDEX('測定結果'!$A:$XFD,ROW(),COLUMN())</f>
        <v>117</v>
      </c>
      <c r="E11" s="1">
        <f>INDEX('測定結果'!$A:$XFD,ROW(),COLUMN())</f>
        <v>436</v>
      </c>
      <c r="F11" s="1">
        <f>LOG(INDEX('測定結果'!$A:$XFD,ROW(),COLUMN()))</f>
        <v>0.893206753059848</v>
      </c>
      <c r="G11" s="1">
        <f>LOG(INDEX('測定結果'!$A:$XFD,ROW(),COLUMN()))</f>
        <v>0.8915374576725644</v>
      </c>
      <c r="H11" s="1">
        <f>LOG(INDEX('測定結果'!$A:$XFD,ROW(),COLUMN()))</f>
        <v>0.9014583213961124</v>
      </c>
      <c r="I11" s="1">
        <f>LOG(INDEX('測定結果'!$A:$XFD,ROW(),COLUMN()))</f>
        <v>1.0293837776852097</v>
      </c>
      <c r="J11" s="1">
        <f>LOG(INDEX('測定結果'!$A:$XFD,ROW(),COLUMN()))</f>
        <v>1.0293837776852097</v>
      </c>
      <c r="K11" s="1">
        <f>LOG(INDEX('測定結果'!$A:$XFD,ROW(),COLUMN()))</f>
        <v>1.0293837776852097</v>
      </c>
      <c r="L11" s="1">
        <f>LOG(INDEX('測定結果'!$A:$XFD,ROW(),COLUMN()))</f>
        <v>0.8095597146352678</v>
      </c>
      <c r="M11" s="1">
        <f>LOG(INDEX('測定結果'!$A:$XFD,ROW(),COLUMN()))</f>
        <v>0.8095597146352678</v>
      </c>
      <c r="N11" s="1">
        <f>LOG(INDEX('測定結果'!$A:$XFD,ROW(),COLUMN()))</f>
        <v>0.8162412999917831</v>
      </c>
    </row>
    <row r="12" spans="1:14" ht="13.5">
      <c r="A12" s="1">
        <f>INDEX('測定結果'!$A:$XFD,ROW(),COLUMN())</f>
        <v>2</v>
      </c>
      <c r="B12" s="1" t="str">
        <f>INDEX('測定結果'!$A:$XFD,ROW(),COLUMN())</f>
        <v>１階</v>
      </c>
      <c r="D12" s="1">
        <f>INDEX('測定結果'!$A:$XFD,ROW(),COLUMN())</f>
        <v>220</v>
      </c>
      <c r="E12" s="1">
        <f>INDEX('測定結果'!$A:$XFD,ROW(),COLUMN())</f>
        <v>424</v>
      </c>
      <c r="F12" s="1">
        <f>LOG(INDEX('測定結果'!$A:$XFD,ROW(),COLUMN()))</f>
        <v>0.8920946026904804</v>
      </c>
      <c r="G12" s="1">
        <f>LOG(INDEX('測定結果'!$A:$XFD,ROW(),COLUMN()))</f>
        <v>0.887054378050957</v>
      </c>
      <c r="H12" s="1">
        <f>LOG(INDEX('測定結果'!$A:$XFD,ROW(),COLUMN()))</f>
        <v>0.9344984512435677</v>
      </c>
      <c r="I12" s="1">
        <f>LOG(INDEX('測定結果'!$A:$XFD,ROW(),COLUMN()))</f>
        <v>1.0413926851582251</v>
      </c>
      <c r="J12" s="1">
        <f>LOG(INDEX('測定結果'!$A:$XFD,ROW(),COLUMN()))</f>
        <v>1.0413926851582251</v>
      </c>
      <c r="K12" s="1">
        <f>LOG(INDEX('測定結果'!$A:$XFD,ROW(),COLUMN()))</f>
        <v>1.0413926851582251</v>
      </c>
      <c r="L12" s="1">
        <f>LOG(INDEX('測定結果'!$A:$XFD,ROW(),COLUMN()))</f>
        <v>0.8142475957319202</v>
      </c>
      <c r="M12" s="1">
        <f>LOG(INDEX('測定結果'!$A:$XFD,ROW(),COLUMN()))</f>
        <v>0.8162412999917831</v>
      </c>
      <c r="N12" s="1">
        <f>LOG(INDEX('測定結果'!$A:$XFD,ROW(),COLUMN()))</f>
        <v>0.8208579894396999</v>
      </c>
    </row>
    <row r="13" spans="1:14" ht="13.5">
      <c r="A13" s="1">
        <f>INDEX('測定結果'!$A:$XFD,ROW(),COLUMN())</f>
        <v>3</v>
      </c>
      <c r="B13" s="1" t="str">
        <f>INDEX('測定結果'!$A:$XFD,ROW(),COLUMN())</f>
        <v>１階</v>
      </c>
      <c r="D13" s="1">
        <f>INDEX('測定結果'!$A:$XFD,ROW(),COLUMN())</f>
        <v>220</v>
      </c>
      <c r="E13" s="1">
        <f>INDEX('測定結果'!$A:$XFD,ROW(),COLUMN())</f>
        <v>520</v>
      </c>
      <c r="F13" s="1">
        <f>LOG(INDEX('測定結果'!$A:$XFD,ROW(),COLUMN()))</f>
        <v>0.9084850188786497</v>
      </c>
      <c r="G13" s="1">
        <f>LOG(INDEX('測定結果'!$A:$XFD,ROW(),COLUMN()))</f>
        <v>0.9003671286564703</v>
      </c>
      <c r="H13" s="1">
        <f>LOG(INDEX('測定結果'!$A:$XFD,ROW(),COLUMN()))</f>
        <v>0.9057958803678685</v>
      </c>
      <c r="I13" s="1">
        <f>LOG(INDEX('測定結果'!$A:$XFD,ROW(),COLUMN()))</f>
        <v>1.0681858617461617</v>
      </c>
      <c r="J13" s="1">
        <f>LOG(INDEX('測定結果'!$A:$XFD,ROW(),COLUMN()))</f>
        <v>1.0681858617461617</v>
      </c>
      <c r="K13" s="1">
        <f>LOG(INDEX('測定結果'!$A:$XFD,ROW(),COLUMN()))</f>
        <v>1.0718820073061255</v>
      </c>
      <c r="L13" s="1">
        <f>LOG(INDEX('測定結果'!$A:$XFD,ROW(),COLUMN()))</f>
        <v>0.829303772831025</v>
      </c>
      <c r="M13" s="1">
        <f>LOG(INDEX('測定結果'!$A:$XFD,ROW(),COLUMN()))</f>
        <v>0.829946695941636</v>
      </c>
      <c r="N13" s="1">
        <f>LOG(INDEX('測定結果'!$A:$XFD,ROW(),COLUMN()))</f>
        <v>0.8260748027008264</v>
      </c>
    </row>
    <row r="14" spans="1:14" ht="13.5">
      <c r="A14" s="1">
        <f>INDEX('測定結果'!$A:$XFD,ROW(),COLUMN())</f>
        <v>4</v>
      </c>
      <c r="B14" s="1" t="str">
        <f>INDEX('測定結果'!$A:$XFD,ROW(),COLUMN())</f>
        <v>１階</v>
      </c>
      <c r="D14" s="1">
        <f>INDEX('測定結果'!$A:$XFD,ROW(),COLUMN())</f>
        <v>347</v>
      </c>
      <c r="E14" s="1">
        <f>INDEX('測定結果'!$A:$XFD,ROW(),COLUMN())</f>
        <v>470</v>
      </c>
      <c r="F14" s="1">
        <f>LOG(INDEX('測定結果'!$A:$XFD,ROW(),COLUMN()))</f>
        <v>1.0253058652647702</v>
      </c>
      <c r="G14" s="1">
        <f>LOG(INDEX('測定結果'!$A:$XFD,ROW(),COLUMN()))</f>
        <v>1.0253058652647702</v>
      </c>
      <c r="H14" s="1">
        <f>LOG(INDEX('測定結果'!$A:$XFD,ROW(),COLUMN()))</f>
        <v>1.021189299069938</v>
      </c>
      <c r="I14" s="1">
        <f>LOG(INDEX('測定結果'!$A:$XFD,ROW(),COLUMN()))</f>
        <v>1.0128372247051722</v>
      </c>
      <c r="J14" s="1">
        <f>LOG(INDEX('測定結果'!$A:$XFD,ROW(),COLUMN()))</f>
        <v>1.0170333392987803</v>
      </c>
      <c r="K14" s="1">
        <f>LOG(INDEX('測定結果'!$A:$XFD,ROW(),COLUMN()))</f>
        <v>1.0170333392987803</v>
      </c>
      <c r="L14" s="1">
        <f>LOG(INDEX('測定結果'!$A:$XFD,ROW(),COLUMN()))</f>
        <v>0.7109631189952758</v>
      </c>
      <c r="M14" s="1">
        <f>LOG(INDEX('測定結果'!$A:$XFD,ROW(),COLUMN()))</f>
        <v>0.7810369386211319</v>
      </c>
      <c r="N14" s="1">
        <f>LOG(INDEX('測定結果'!$A:$XFD,ROW(),COLUMN()))</f>
        <v>0.7810369386211319</v>
      </c>
    </row>
    <row r="15" spans="1:14" ht="13.5">
      <c r="A15" s="1">
        <f>INDEX('測定結果'!$A:$XFD,ROW(),COLUMN())</f>
        <v>5</v>
      </c>
      <c r="B15" s="1" t="str">
        <f>INDEX('測定結果'!$A:$XFD,ROW(),COLUMN())</f>
        <v>１階</v>
      </c>
      <c r="D15" s="1">
        <f>INDEX('測定結果'!$A:$XFD,ROW(),COLUMN())</f>
        <v>217</v>
      </c>
      <c r="E15" s="1">
        <f>INDEX('測定結果'!$A:$XFD,ROW(),COLUMN())</f>
        <v>634</v>
      </c>
      <c r="F15" s="1">
        <f>LOG(INDEX('測定結果'!$A:$XFD,ROW(),COLUMN()))</f>
        <v>1.0863598306747482</v>
      </c>
      <c r="G15" s="1">
        <f>LOG(INDEX('測定結果'!$A:$XFD,ROW(),COLUMN()))</f>
        <v>1.08278537031645</v>
      </c>
      <c r="H15" s="1">
        <f>LOG(INDEX('測定結果'!$A:$XFD,ROW(),COLUMN()))</f>
        <v>1.08278537031645</v>
      </c>
      <c r="I15" s="1">
        <f>LOG(INDEX('測定結果'!$A:$XFD,ROW(),COLUMN()))</f>
        <v>1.0791812460476249</v>
      </c>
      <c r="J15" s="1">
        <f>LOG(INDEX('測定結果'!$A:$XFD,ROW(),COLUMN()))</f>
        <v>1.0791812460476249</v>
      </c>
      <c r="K15" s="1">
        <f>LOG(INDEX('測定結果'!$A:$XFD,ROW(),COLUMN()))</f>
        <v>1.08278537031645</v>
      </c>
      <c r="L15" s="1">
        <f>LOG(INDEX('測定結果'!$A:$XFD,ROW(),COLUMN()))</f>
        <v>0.8639173769578604</v>
      </c>
      <c r="M15" s="1">
        <f>LOG(INDEX('測定結果'!$A:$XFD,ROW(),COLUMN()))</f>
        <v>0.8603380065709937</v>
      </c>
      <c r="N15" s="1">
        <f>LOG(INDEX('測定結果'!$A:$XFD,ROW(),COLUMN()))</f>
        <v>0.8603380065709937</v>
      </c>
    </row>
    <row r="16" spans="1:14" ht="13.5">
      <c r="A16" s="1">
        <f>INDEX('測定結果'!$A:$XFD,ROW(),COLUMN())</f>
        <v>6</v>
      </c>
      <c r="B16" s="1" t="str">
        <f>INDEX('測定結果'!$A:$XFD,ROW(),COLUMN())</f>
        <v>１階</v>
      </c>
      <c r="D16" s="1">
        <f>INDEX('測定結果'!$A:$XFD,ROW(),COLUMN())</f>
        <v>217</v>
      </c>
      <c r="E16" s="1">
        <f>INDEX('測定結果'!$A:$XFD,ROW(),COLUMN())</f>
        <v>753</v>
      </c>
      <c r="F16" s="1">
        <f>LOG(INDEX('測定結果'!$A:$XFD,ROW(),COLUMN()))</f>
        <v>1.0969100130080565</v>
      </c>
      <c r="G16" s="1">
        <f>LOG(INDEX('測定結果'!$A:$XFD,ROW(),COLUMN()))</f>
        <v>1.0934216851622351</v>
      </c>
      <c r="H16" s="1">
        <f>LOG(INDEX('測定結果'!$A:$XFD,ROW(),COLUMN()))</f>
        <v>1.0969100130080565</v>
      </c>
      <c r="I16" s="1">
        <f>LOG(INDEX('測定結果'!$A:$XFD,ROW(),COLUMN()))</f>
        <v>1.089905111439398</v>
      </c>
      <c r="J16" s="1">
        <f>LOG(INDEX('測定結果'!$A:$XFD,ROW(),COLUMN()))</f>
        <v>1.089905111439398</v>
      </c>
      <c r="K16" s="1">
        <f>LOG(INDEX('測定結果'!$A:$XFD,ROW(),COLUMN()))</f>
        <v>1.0934216851622351</v>
      </c>
      <c r="L16" s="1">
        <f>LOG(INDEX('測定結果'!$A:$XFD,ROW(),COLUMN()))</f>
        <v>0.8943160626844384</v>
      </c>
      <c r="M16" s="1">
        <f>LOG(INDEX('測定結果'!$A:$XFD,ROW(),COLUMN()))</f>
        <v>0.8887409606828927</v>
      </c>
      <c r="N16" s="1">
        <f>LOG(INDEX('測定結果'!$A:$XFD,ROW(),COLUMN()))</f>
        <v>0.8937617620579434</v>
      </c>
    </row>
    <row r="17" spans="1:14" ht="13.5">
      <c r="A17" s="1">
        <f>INDEX('測定結果'!$A:$XFD,ROW(),COLUMN())</f>
        <v>7</v>
      </c>
      <c r="B17" s="1" t="str">
        <f>INDEX('測定結果'!$A:$XFD,ROW(),COLUMN())</f>
        <v>１階</v>
      </c>
      <c r="D17" s="1">
        <f>INDEX('測定結果'!$A:$XFD,ROW(),COLUMN())</f>
        <v>100</v>
      </c>
      <c r="E17" s="1">
        <f>INDEX('測定結果'!$A:$XFD,ROW(),COLUMN())</f>
        <v>753</v>
      </c>
      <c r="F17" s="1">
        <f>LOG(INDEX('測定結果'!$A:$XFD,ROW(),COLUMN()))</f>
        <v>1.0569048513364727</v>
      </c>
      <c r="G17" s="1">
        <f>LOG(INDEX('測定結果'!$A:$XFD,ROW(),COLUMN()))</f>
        <v>1.0569048513364727</v>
      </c>
      <c r="H17" s="1">
        <f>LOG(INDEX('測定結果'!$A:$XFD,ROW(),COLUMN()))</f>
        <v>1.1238516409670858</v>
      </c>
      <c r="I17" s="1">
        <f>LOG(INDEX('測定結果'!$A:$XFD,ROW(),COLUMN()))</f>
        <v>1.1271047983648077</v>
      </c>
      <c r="J17" s="1">
        <f>LOG(INDEX('測定結果'!$A:$XFD,ROW(),COLUMN()))</f>
        <v>1.1271047983648077</v>
      </c>
      <c r="K17" s="1">
        <f>LOG(INDEX('測定結果'!$A:$XFD,ROW(),COLUMN()))</f>
        <v>1.130333768495006</v>
      </c>
      <c r="L17" s="1">
        <f>LOG(INDEX('測定結果'!$A:$XFD,ROW(),COLUMN()))</f>
        <v>0.9740509027928773</v>
      </c>
      <c r="M17" s="1">
        <f>LOG(INDEX('測定結果'!$A:$XFD,ROW(),COLUMN()))</f>
        <v>1</v>
      </c>
      <c r="N17" s="1">
        <f>LOG(INDEX('測定結果'!$A:$XFD,ROW(),COLUMN()))</f>
        <v>0.9938769149412112</v>
      </c>
    </row>
    <row r="18" spans="1:14" ht="13.5">
      <c r="A18" s="1">
        <f>INDEX('測定結果'!$A:$XFD,ROW(),COLUMN())</f>
        <v>8</v>
      </c>
      <c r="B18" s="1" t="str">
        <f>INDEX('測定結果'!$A:$XFD,ROW(),COLUMN())</f>
        <v>１階</v>
      </c>
      <c r="D18" s="1">
        <f>INDEX('測定結果'!$A:$XFD,ROW(),COLUMN())</f>
        <v>100</v>
      </c>
      <c r="E18" s="1">
        <f>INDEX('測定結果'!$A:$XFD,ROW(),COLUMN())</f>
        <v>634</v>
      </c>
      <c r="F18" s="1">
        <f>LOG(INDEX('測定結果'!$A:$XFD,ROW(),COLUMN()))</f>
        <v>1.1139433523068367</v>
      </c>
      <c r="G18" s="1">
        <f>LOG(INDEX('測定結果'!$A:$XFD,ROW(),COLUMN()))</f>
        <v>1.1139433523068367</v>
      </c>
      <c r="H18" s="1">
        <f>LOG(INDEX('測定結果'!$A:$XFD,ROW(),COLUMN()))</f>
        <v>1.1205739312058498</v>
      </c>
      <c r="I18" s="1">
        <f>LOG(INDEX('測定結果'!$A:$XFD,ROW(),COLUMN()))</f>
        <v>1.1205739312058498</v>
      </c>
      <c r="J18" s="1">
        <f>LOG(INDEX('測定結果'!$A:$XFD,ROW(),COLUMN()))</f>
        <v>1.1139433523068367</v>
      </c>
      <c r="K18" s="1">
        <f>LOG(INDEX('測定結果'!$A:$XFD,ROW(),COLUMN()))</f>
        <v>1.1172712956557642</v>
      </c>
      <c r="L18" s="1">
        <f>LOG(INDEX('測定結果'!$A:$XFD,ROW(),COLUMN()))</f>
        <v>0.9566485792052033</v>
      </c>
      <c r="M18" s="1">
        <f>LOG(INDEX('測定結果'!$A:$XFD,ROW(),COLUMN()))</f>
        <v>0.9420080530223133</v>
      </c>
      <c r="N18" s="1">
        <f>LOG(INDEX('測定結果'!$A:$XFD,ROW(),COLUMN()))</f>
        <v>0.9242792860618817</v>
      </c>
    </row>
    <row r="19" spans="1:14" ht="13.5">
      <c r="A19" s="1">
        <f>INDEX('測定結果'!$A:$XFD,ROW(),COLUMN())</f>
        <v>9</v>
      </c>
      <c r="B19" s="1" t="str">
        <f>INDEX('測定結果'!$A:$XFD,ROW(),COLUMN())</f>
        <v>１階</v>
      </c>
      <c r="D19" s="1">
        <f>INDEX('測定結果'!$A:$XFD,ROW(),COLUMN())</f>
        <v>363</v>
      </c>
      <c r="E19" s="1">
        <f>INDEX('測定結果'!$A:$XFD,ROW(),COLUMN())</f>
        <v>634</v>
      </c>
      <c r="F19" s="1">
        <f>LOG(INDEX('測定結果'!$A:$XFD,ROW(),COLUMN()))</f>
        <v>0.9444826721501687</v>
      </c>
      <c r="G19" s="1">
        <f>LOG(INDEX('測定結果'!$A:$XFD,ROW(),COLUMN()))</f>
        <v>0.9344984512435677</v>
      </c>
      <c r="H19" s="1">
        <f>LOG(INDEX('測定結果'!$A:$XFD,ROW(),COLUMN()))</f>
        <v>0.9614210940664483</v>
      </c>
      <c r="I19" s="1">
        <f>LOG(INDEX('測定結果'!$A:$XFD,ROW(),COLUMN()))</f>
        <v>1.021189299069938</v>
      </c>
      <c r="J19" s="1">
        <f>LOG(INDEX('測定結果'!$A:$XFD,ROW(),COLUMN()))</f>
        <v>1.021189299069938</v>
      </c>
      <c r="K19" s="1">
        <f>LOG(INDEX('測定結果'!$A:$XFD,ROW(),COLUMN()))</f>
        <v>1.021189299069938</v>
      </c>
      <c r="L19" s="1">
        <f>LOG(INDEX('測定結果'!$A:$XFD,ROW(),COLUMN()))</f>
        <v>0.8739015978644614</v>
      </c>
      <c r="M19" s="1">
        <f>LOG(INDEX('測定結果'!$A:$XFD,ROW(),COLUMN()))</f>
        <v>0.8762178405916422</v>
      </c>
      <c r="N19" s="1">
        <f>LOG(INDEX('測定結果'!$A:$XFD,ROW(),COLUMN()))</f>
        <v>0.8819549713396005</v>
      </c>
    </row>
    <row r="20" spans="1:14" ht="13.5">
      <c r="A20" s="1">
        <f>INDEX('測定結果'!$A:$XFD,ROW(),COLUMN())</f>
        <v>10</v>
      </c>
      <c r="B20" s="1" t="str">
        <f>INDEX('測定結果'!$A:$XFD,ROW(),COLUMN())</f>
        <v>１階</v>
      </c>
      <c r="D20" s="1">
        <f>INDEX('測定結果'!$A:$XFD,ROW(),COLUMN())</f>
        <v>363</v>
      </c>
      <c r="E20" s="1">
        <f>INDEX('測定結果'!$A:$XFD,ROW(),COLUMN())</f>
        <v>770</v>
      </c>
      <c r="F20" s="1">
        <f>LOG(INDEX('測定結果'!$A:$XFD,ROW(),COLUMN()))</f>
        <v>0.9180303367848801</v>
      </c>
      <c r="G20" s="1">
        <f>LOG(INDEX('測定結果'!$A:$XFD,ROW(),COLUMN()))</f>
        <v>0.9148718175400504</v>
      </c>
      <c r="H20" s="1">
        <f>LOG(INDEX('測定結果'!$A:$XFD,ROW(),COLUMN()))</f>
        <v>1.1613680022349748</v>
      </c>
      <c r="I20" s="1">
        <f>LOG(INDEX('測定結果'!$A:$XFD,ROW(),COLUMN()))</f>
        <v>1.021189299069938</v>
      </c>
      <c r="J20" s="1">
        <f>LOG(INDEX('測定結果'!$A:$XFD,ROW(),COLUMN()))</f>
        <v>1.0253058652647702</v>
      </c>
      <c r="K20" s="1">
        <f>LOG(INDEX('測定結果'!$A:$XFD,ROW(),COLUMN()))</f>
        <v>1.0253058652647702</v>
      </c>
      <c r="L20" s="1">
        <f>LOG(INDEX('測定結果'!$A:$XFD,ROW(),COLUMN()))</f>
        <v>0.8369567370595504</v>
      </c>
      <c r="M20" s="1">
        <f>LOG(INDEX('測定結果'!$A:$XFD,ROW(),COLUMN()))</f>
        <v>0.8382192219076258</v>
      </c>
      <c r="N20" s="1">
        <f>LOG(INDEX('測定結果'!$A:$XFD,ROW(),COLUMN()))</f>
        <v>0.8382192219076258</v>
      </c>
    </row>
    <row r="21" spans="1:14" ht="13.5">
      <c r="A21" s="1">
        <f>INDEX('測定結果'!$A:$XFD,ROW(),COLUMN())</f>
        <v>11</v>
      </c>
      <c r="B21" s="1" t="str">
        <f>INDEX('測定結果'!$A:$XFD,ROW(),COLUMN())</f>
        <v>１階</v>
      </c>
      <c r="D21" s="1">
        <f>INDEX('測定結果'!$A:$XFD,ROW(),COLUMN())</f>
        <v>394</v>
      </c>
      <c r="E21" s="1">
        <f>INDEX('測定結果'!$A:$XFD,ROW(),COLUMN())</f>
        <v>470</v>
      </c>
      <c r="F21" s="1">
        <f>LOG(INDEX('測定結果'!$A:$XFD,ROW(),COLUMN()))</f>
        <v>1.0293837776852097</v>
      </c>
      <c r="G21" s="1">
        <f>LOG(INDEX('測定結果'!$A:$XFD,ROW(),COLUMN()))</f>
        <v>1.0293837776852097</v>
      </c>
      <c r="H21" s="1">
        <f>LOG(INDEX('測定結果'!$A:$XFD,ROW(),COLUMN()))</f>
        <v>1.0293837776852097</v>
      </c>
      <c r="I21" s="1">
        <f>LOG(INDEX('測定結果'!$A:$XFD,ROW(),COLUMN()))</f>
        <v>1.0086001717619175</v>
      </c>
      <c r="J21" s="1">
        <f>LOG(INDEX('測定結果'!$A:$XFD,ROW(),COLUMN()))</f>
        <v>1.0086001717619175</v>
      </c>
      <c r="K21" s="1">
        <f>LOG(INDEX('測定結果'!$A:$XFD,ROW(),COLUMN()))</f>
        <v>1.0086001717619175</v>
      </c>
      <c r="L21" s="1">
        <f>LOG(INDEX('測定結果'!$A:$XFD,ROW(),COLUMN()))</f>
        <v>0.8195439355418687</v>
      </c>
      <c r="M21" s="1">
        <f>LOG(INDEX('測定結果'!$A:$XFD,ROW(),COLUMN()))</f>
        <v>0.8463371121298052</v>
      </c>
      <c r="N21" s="1">
        <f>LOG(INDEX('測定結果'!$A:$XFD,ROW(),COLUMN()))</f>
        <v>0.8656960599160706</v>
      </c>
    </row>
    <row r="22" spans="1:14" ht="13.5">
      <c r="A22" s="1">
        <f>INDEX('測定結果'!$A:$XFD,ROW(),COLUMN())</f>
        <v>12</v>
      </c>
      <c r="B22" s="1" t="str">
        <f>INDEX('測定結果'!$A:$XFD,ROW(),COLUMN())</f>
        <v>１階</v>
      </c>
      <c r="D22" s="1">
        <f>INDEX('測定結果'!$A:$XFD,ROW(),COLUMN())</f>
        <v>354</v>
      </c>
      <c r="E22" s="1">
        <f>INDEX('測定結果'!$A:$XFD,ROW(),COLUMN())</f>
        <v>375</v>
      </c>
      <c r="F22" s="1">
        <f>LOG(INDEX('測定結果'!$A:$XFD,ROW(),COLUMN()))</f>
        <v>1.0374264979406236</v>
      </c>
      <c r="G22" s="1">
        <f>LOG(INDEX('測定結果'!$A:$XFD,ROW(),COLUMN()))</f>
        <v>1.0334237554869496</v>
      </c>
      <c r="H22" s="1">
        <f>LOG(INDEX('測定結果'!$A:$XFD,ROW(),COLUMN()))</f>
        <v>1.0334237554869496</v>
      </c>
      <c r="I22" s="1">
        <f>LOG(INDEX('測定結果'!$A:$XFD,ROW(),COLUMN()))</f>
        <v>1.0043213737826426</v>
      </c>
      <c r="J22" s="1">
        <f>LOG(INDEX('測定結果'!$A:$XFD,ROW(),COLUMN()))</f>
        <v>1.0043213737826426</v>
      </c>
      <c r="K22" s="1">
        <f>LOG(INDEX('測定結果'!$A:$XFD,ROW(),COLUMN()))</f>
        <v>1.0043213737826426</v>
      </c>
      <c r="L22" s="1">
        <f>LOG(INDEX('測定結果'!$A:$XFD,ROW(),COLUMN()))</f>
        <v>0.8432327780980095</v>
      </c>
      <c r="M22" s="1">
        <f>LOG(INDEX('測定結果'!$A:$XFD,ROW(),COLUMN()))</f>
        <v>0.8674674878590515</v>
      </c>
      <c r="N22" s="1">
        <f>LOG(INDEX('測定結果'!$A:$XFD,ROW(),COLUMN()))</f>
        <v>0.8674674878590515</v>
      </c>
    </row>
    <row r="23" spans="1:14" ht="13.5">
      <c r="A23" s="1">
        <f>INDEX('測定結果'!$A:$XFD,ROW(),COLUMN())</f>
        <v>13</v>
      </c>
      <c r="B23" s="1" t="str">
        <f>INDEX('測定結果'!$A:$XFD,ROW(),COLUMN())</f>
        <v>１階</v>
      </c>
      <c r="D23" s="1">
        <f>INDEX('測定結果'!$A:$XFD,ROW(),COLUMN())</f>
        <v>363</v>
      </c>
      <c r="E23" s="1">
        <f>INDEX('測定結果'!$A:$XFD,ROW(),COLUMN())</f>
        <v>270</v>
      </c>
      <c r="F23" s="1">
        <f>LOG(INDEX('測定結果'!$A:$XFD,ROW(),COLUMN()))</f>
        <v>1.0413926851582251</v>
      </c>
      <c r="G23" s="1">
        <f>LOG(INDEX('測定結果'!$A:$XFD,ROW(),COLUMN()))</f>
        <v>1.0374264979406236</v>
      </c>
      <c r="H23" s="1">
        <f>LOG(INDEX('測定結果'!$A:$XFD,ROW(),COLUMN()))</f>
        <v>1.0413926851582251</v>
      </c>
      <c r="I23" s="1">
        <f>LOG(INDEX('測定結果'!$A:$XFD,ROW(),COLUMN()))</f>
        <v>1</v>
      </c>
      <c r="J23" s="1">
        <f>LOG(INDEX('測定結果'!$A:$XFD,ROW(),COLUMN()))</f>
        <v>1</v>
      </c>
      <c r="K23" s="1">
        <f>LOG(INDEX('測定結果'!$A:$XFD,ROW(),COLUMN()))</f>
        <v>1</v>
      </c>
      <c r="L23" s="1">
        <f>LOG(INDEX('測定結果'!$A:$XFD,ROW(),COLUMN()))</f>
        <v>0.8375884382355113</v>
      </c>
      <c r="M23" s="1">
        <f>LOG(INDEX('測定結果'!$A:$XFD,ROW(),COLUMN()))</f>
        <v>0.9566485792052033</v>
      </c>
      <c r="N23" s="1">
        <f>LOG(INDEX('測定結果'!$A:$XFD,ROW(),COLUMN()))</f>
        <v>1.021189299069938</v>
      </c>
    </row>
    <row r="24" spans="1:14" ht="13.5">
      <c r="A24" s="1">
        <f>INDEX('測定結果'!$A:$XFD,ROW(),COLUMN())</f>
        <v>14</v>
      </c>
      <c r="B24" s="1" t="str">
        <f>INDEX('測定結果'!$A:$XFD,ROW(),COLUMN())</f>
        <v>１階</v>
      </c>
      <c r="D24" s="1">
        <f>INDEX('測定結果'!$A:$XFD,ROW(),COLUMN())</f>
        <v>243</v>
      </c>
      <c r="E24" s="1">
        <f>INDEX('測定結果'!$A:$XFD,ROW(),COLUMN())</f>
        <v>327</v>
      </c>
      <c r="F24" s="1">
        <f>LOG(INDEX('測定結果'!$A:$XFD,ROW(),COLUMN()))</f>
        <v>0.9025467793139914</v>
      </c>
      <c r="G24" s="1">
        <f>LOG(INDEX('測定結果'!$A:$XFD,ROW(),COLUMN()))</f>
        <v>0.9014583213961124</v>
      </c>
      <c r="H24" s="1">
        <f>LOG(INDEX('測定結果'!$A:$XFD,ROW(),COLUMN()))</f>
        <v>1.14921911265538</v>
      </c>
      <c r="I24" s="1">
        <f>LOG(INDEX('測定結果'!$A:$XFD,ROW(),COLUMN()))</f>
        <v>1.0334237554869496</v>
      </c>
      <c r="J24" s="1">
        <f>LOG(INDEX('測定結果'!$A:$XFD,ROW(),COLUMN()))</f>
        <v>1.0334237554869496</v>
      </c>
      <c r="K24" s="1">
        <f>LOG(INDEX('測定結果'!$A:$XFD,ROW(),COLUMN()))</f>
        <v>1.0374264979406236</v>
      </c>
      <c r="L24" s="1">
        <f>LOG(INDEX('測定結果'!$A:$XFD,ROW(),COLUMN()))</f>
        <v>0.8142475957319202</v>
      </c>
      <c r="M24" s="1">
        <f>LOG(INDEX('測定結果'!$A:$XFD,ROW(),COLUMN()))</f>
        <v>0.8162412999917831</v>
      </c>
      <c r="N24" s="1">
        <f>LOG(INDEX('測定結果'!$A:$XFD,ROW(),COLUMN()))</f>
        <v>0.8208579894396999</v>
      </c>
    </row>
    <row r="25" spans="1:14" ht="13.5">
      <c r="A25" s="1">
        <f>INDEX('測定結果'!$A:$XFD,ROW(),COLUMN())</f>
        <v>15</v>
      </c>
      <c r="B25" s="1" t="str">
        <f>INDEX('測定結果'!$A:$XFD,ROW(),COLUMN())</f>
        <v>１階</v>
      </c>
      <c r="D25" s="1">
        <f>INDEX('測定結果'!$A:$XFD,ROW(),COLUMN())</f>
        <v>243</v>
      </c>
      <c r="E25" s="1">
        <f>INDEX('測定結果'!$A:$XFD,ROW(),COLUMN())</f>
        <v>232</v>
      </c>
      <c r="F25" s="1">
        <f>LOG(INDEX('測定結果'!$A:$XFD,ROW(),COLUMN()))</f>
        <v>1.0207754881935578</v>
      </c>
      <c r="G25" s="1">
        <f>LOG(INDEX('測定結果'!$A:$XFD,ROW(),COLUMN()))</f>
        <v>1.021189299069938</v>
      </c>
      <c r="H25" s="1">
        <f>LOG(INDEX('測定結果'!$A:$XFD,ROW(),COLUMN()))</f>
        <v>1.0253058652647702</v>
      </c>
      <c r="I25" s="1">
        <f>LOG(INDEX('測定結果'!$A:$XFD,ROW(),COLUMN()))</f>
        <v>1.0334237554869496</v>
      </c>
      <c r="J25" s="1">
        <f>LOG(INDEX('測定結果'!$A:$XFD,ROW(),COLUMN()))</f>
        <v>1.0334237554869496</v>
      </c>
      <c r="K25" s="1">
        <f>LOG(INDEX('測定結果'!$A:$XFD,ROW(),COLUMN()))</f>
        <v>1.0334237554869496</v>
      </c>
      <c r="L25" s="1">
        <f>LOG(INDEX('測定結果'!$A:$XFD,ROW(),COLUMN()))</f>
        <v>0.9400181550076633</v>
      </c>
      <c r="M25" s="1">
        <f>LOG(INDEX('測定結果'!$A:$XFD,ROW(),COLUMN()))</f>
        <v>0.9489017609702137</v>
      </c>
      <c r="N25" s="1">
        <f>LOG(INDEX('測定結果'!$A:$XFD,ROW(),COLUMN()))</f>
        <v>0.9547247909790629</v>
      </c>
    </row>
    <row r="26" spans="1:14" ht="13.5">
      <c r="A26" s="1">
        <f>INDEX('測定結果'!$A:$XFD,ROW(),COLUMN())</f>
        <v>16</v>
      </c>
      <c r="B26" s="1" t="str">
        <f>INDEX('測定結果'!$A:$XFD,ROW(),COLUMN())</f>
        <v>１階</v>
      </c>
      <c r="D26" s="1">
        <f>INDEX('測定結果'!$A:$XFD,ROW(),COLUMN())</f>
        <v>126</v>
      </c>
      <c r="E26" s="1">
        <f>INDEX('測定結果'!$A:$XFD,ROW(),COLUMN())</f>
        <v>232</v>
      </c>
      <c r="F26" s="1">
        <f>LOG(INDEX('測定結果'!$A:$XFD,ROW(),COLUMN()))</f>
        <v>1.0413926851582251</v>
      </c>
      <c r="G26" s="1">
        <f>LOG(INDEX('測定結果'!$A:$XFD,ROW(),COLUMN()))</f>
        <v>1.0492180226701815</v>
      </c>
      <c r="H26" s="1">
        <f>LOG(INDEX('測定結果'!$A:$XFD,ROW(),COLUMN()))</f>
        <v>1.0413926851582251</v>
      </c>
      <c r="I26" s="1">
        <f>LOG(INDEX('測定結果'!$A:$XFD,ROW(),COLUMN()))</f>
        <v>1.0334237554869496</v>
      </c>
      <c r="J26" s="1">
        <f>LOG(INDEX('測定結果'!$A:$XFD,ROW(),COLUMN()))</f>
        <v>1.0334237554869496</v>
      </c>
      <c r="K26" s="1">
        <f>LOG(INDEX('測定結果'!$A:$XFD,ROW(),COLUMN()))</f>
        <v>1.0334237554869496</v>
      </c>
      <c r="L26" s="1">
        <f>LOG(INDEX('測定結果'!$A:$XFD,ROW(),COLUMN()))</f>
        <v>0.9772662124272927</v>
      </c>
      <c r="M26" s="1">
        <f>LOG(INDEX('測定結果'!$A:$XFD,ROW(),COLUMN()))</f>
        <v>1.0086001717619175</v>
      </c>
      <c r="N26" s="1">
        <f>LOG(INDEX('測定結果'!$A:$XFD,ROW(),COLUMN()))</f>
        <v>1.0128372247051722</v>
      </c>
    </row>
    <row r="27" spans="1:14" ht="13.5">
      <c r="A27" s="1">
        <f>INDEX('測定結果'!$A:$XFD,ROW(),COLUMN())</f>
        <v>17</v>
      </c>
      <c r="B27" s="1" t="str">
        <f>INDEX('測定結果'!$A:$XFD,ROW(),COLUMN())</f>
        <v>２階</v>
      </c>
      <c r="D27" s="1">
        <f>INDEX('測定結果'!$A:$XFD,ROW(),COLUMN())</f>
        <v>126</v>
      </c>
      <c r="E27" s="1">
        <f>INDEX('測定結果'!$A:$XFD,ROW(),COLUMN())</f>
        <v>327</v>
      </c>
      <c r="F27" s="1">
        <f>LOG(INDEX('測定結果'!$A:$XFD,ROW(),COLUMN()))</f>
        <v>1.0374264979406236</v>
      </c>
      <c r="G27" s="1">
        <f>LOG(INDEX('測定結果'!$A:$XFD,ROW(),COLUMN()))</f>
        <v>1.0413926851582251</v>
      </c>
      <c r="H27" s="1">
        <f>LOG(INDEX('測定結果'!$A:$XFD,ROW(),COLUMN()))</f>
        <v>1.0413926851582251</v>
      </c>
      <c r="I27" s="1">
        <f>LOG(INDEX('測定結果'!$A:$XFD,ROW(),COLUMN()))</f>
        <v>1.0334237554869496</v>
      </c>
      <c r="J27" s="1">
        <f>LOG(INDEX('測定結果'!$A:$XFD,ROW(),COLUMN()))</f>
        <v>1.0334237554869496</v>
      </c>
      <c r="K27" s="1">
        <f>LOG(INDEX('測定結果'!$A:$XFD,ROW(),COLUMN()))</f>
        <v>1.0334237554869496</v>
      </c>
      <c r="L27" s="1">
        <f>LOG(INDEX('測定結果'!$A:$XFD,ROW(),COLUMN()))</f>
        <v>0.8228216453031046</v>
      </c>
      <c r="M27" s="1">
        <f>LOG(INDEX('測定結果'!$A:$XFD,ROW(),COLUMN()))</f>
        <v>0.8234742291703011</v>
      </c>
      <c r="N27" s="1">
        <f>LOG(INDEX('測定結果'!$A:$XFD,ROW(),COLUMN()))</f>
        <v>1.0334237554869496</v>
      </c>
    </row>
    <row r="28" spans="1:14" ht="13.5">
      <c r="A28" s="1">
        <f>INDEX('測定結果'!$A:$XFD,ROW(),COLUMN())</f>
        <v>18</v>
      </c>
      <c r="B28" s="1" t="str">
        <f>INDEX('測定結果'!$A:$XFD,ROW(),COLUMN())</f>
        <v>２階</v>
      </c>
      <c r="D28" s="1">
        <f>INDEX('測定結果'!$A:$XFD,ROW(),COLUMN())</f>
        <v>945</v>
      </c>
      <c r="E28" s="1">
        <f>INDEX('測定結果'!$A:$XFD,ROW(),COLUMN())</f>
        <v>542</v>
      </c>
      <c r="F28" s="1">
        <f>LOG(INDEX('測定結果'!$A:$XFD,ROW(),COLUMN()))</f>
        <v>1.1172712956557642</v>
      </c>
      <c r="G28" s="1">
        <f>LOG(INDEX('測定結果'!$A:$XFD,ROW(),COLUMN()))</f>
        <v>1.0644579892269184</v>
      </c>
      <c r="H28" s="1">
        <f>LOG(INDEX('測定結果'!$A:$XFD,ROW(),COLUMN()))</f>
        <v>1.1038037209559568</v>
      </c>
      <c r="I28" s="1">
        <f>LOG(INDEX('測定結果'!$A:$XFD,ROW(),COLUMN()))</f>
        <v>1</v>
      </c>
      <c r="J28" s="1">
        <f>LOG(INDEX('測定結果'!$A:$XFD,ROW(),COLUMN()))</f>
        <v>1</v>
      </c>
      <c r="K28" s="1">
        <f>LOG(INDEX('測定結果'!$A:$XFD,ROW(),COLUMN()))</f>
        <v>1</v>
      </c>
      <c r="L28" s="1">
        <f>LOG(INDEX('測定結果'!$A:$XFD,ROW(),COLUMN()))</f>
        <v>0.8992731873176038</v>
      </c>
      <c r="M28" s="1">
        <f>LOG(INDEX('測定結果'!$A:$XFD,ROW(),COLUMN()))</f>
        <v>0.8904210188009143</v>
      </c>
      <c r="N28" s="1">
        <f>LOG(INDEX('測定結果'!$A:$XFD,ROW(),COLUMN()))</f>
        <v>0.8830933585756899</v>
      </c>
    </row>
    <row r="29" spans="1:14" ht="13.5">
      <c r="A29" s="1">
        <f>INDEX('測定結果'!$A:$XFD,ROW(),COLUMN())</f>
        <v>19</v>
      </c>
      <c r="B29" s="1" t="str">
        <f>INDEX('測定結果'!$A:$XFD,ROW(),COLUMN())</f>
        <v>２階</v>
      </c>
      <c r="D29" s="1">
        <f>INDEX('測定結果'!$A:$XFD,ROW(),COLUMN())</f>
        <v>843</v>
      </c>
      <c r="E29" s="1">
        <f>INDEX('測定結果'!$A:$XFD,ROW(),COLUMN())</f>
        <v>563</v>
      </c>
      <c r="F29" s="1">
        <f>LOG(INDEX('測定結果'!$A:$XFD,ROW(),COLUMN()))</f>
        <v>1.0492180226701815</v>
      </c>
      <c r="G29" s="1">
        <f>LOG(INDEX('測定結果'!$A:$XFD,ROW(),COLUMN()))</f>
        <v>1.0334237554869496</v>
      </c>
      <c r="H29" s="1">
        <f>LOG(INDEX('測定結果'!$A:$XFD,ROW(),COLUMN()))</f>
        <v>1.0334237554869496</v>
      </c>
      <c r="I29" s="1">
        <f>LOG(INDEX('測定結果'!$A:$XFD,ROW(),COLUMN()))</f>
        <v>1</v>
      </c>
      <c r="J29" s="1">
        <f>LOG(INDEX('測定結果'!$A:$XFD,ROW(),COLUMN()))</f>
        <v>1</v>
      </c>
      <c r="K29" s="1">
        <f>LOG(INDEX('測定結果'!$A:$XFD,ROW(),COLUMN()))</f>
        <v>1</v>
      </c>
      <c r="L29" s="1">
        <f>LOG(INDEX('測定結果'!$A:$XFD,ROW(),COLUMN()))</f>
        <v>0.9100905455940682</v>
      </c>
      <c r="M29" s="1">
        <f>LOG(INDEX('測定結果'!$A:$XFD,ROW(),COLUMN()))</f>
        <v>0.9106244048892013</v>
      </c>
      <c r="N29" s="1">
        <f>LOG(INDEX('測定結果'!$A:$XFD,ROW(),COLUMN()))</f>
        <v>0.9122220565324155</v>
      </c>
    </row>
    <row r="30" spans="1:14" ht="13.5">
      <c r="A30" s="1">
        <f>INDEX('測定結果'!$A:$XFD,ROW(),COLUMN())</f>
        <v>20</v>
      </c>
      <c r="B30" s="1" t="str">
        <f>INDEX('測定結果'!$A:$XFD,ROW(),COLUMN())</f>
        <v>２階</v>
      </c>
      <c r="D30" s="1">
        <f>INDEX('測定結果'!$A:$XFD,ROW(),COLUMN())</f>
        <v>843</v>
      </c>
      <c r="E30" s="1">
        <f>INDEX('測定結果'!$A:$XFD,ROW(),COLUMN())</f>
        <v>465</v>
      </c>
      <c r="F30" s="1">
        <f>LOG(INDEX('測定結果'!$A:$XFD,ROW(),COLUMN()))</f>
        <v>1.0293837776852097</v>
      </c>
      <c r="G30" s="1">
        <f>LOG(INDEX('測定結果'!$A:$XFD,ROW(),COLUMN()))</f>
        <v>1.0334237554869496</v>
      </c>
      <c r="H30" s="1">
        <f>LOG(INDEX('測定結果'!$A:$XFD,ROW(),COLUMN()))</f>
        <v>1.0293837776852097</v>
      </c>
      <c r="I30" s="1">
        <f>LOG(INDEX('測定結果'!$A:$XFD,ROW(),COLUMN()))</f>
        <v>1</v>
      </c>
      <c r="J30" s="1">
        <f>LOG(INDEX('測定結果'!$A:$XFD,ROW(),COLUMN()))</f>
        <v>1</v>
      </c>
      <c r="K30" s="1">
        <f>LOG(INDEX('測定結果'!$A:$XFD,ROW(),COLUMN()))</f>
        <v>1</v>
      </c>
      <c r="L30" s="1">
        <f>LOG(INDEX('測定結果'!$A:$XFD,ROW(),COLUMN()))</f>
        <v>0.9036325160842377</v>
      </c>
      <c r="M30" s="1">
        <f>LOG(INDEX('測定結果'!$A:$XFD,ROW(),COLUMN()))</f>
        <v>0.9003671286564703</v>
      </c>
      <c r="N30" s="1">
        <f>LOG(INDEX('測定結果'!$A:$XFD,ROW(),COLUMN()))</f>
        <v>0.9084850188786497</v>
      </c>
    </row>
    <row r="31" spans="1:14" ht="13.5">
      <c r="A31" s="1">
        <f>INDEX('測定結果'!$A:$XFD,ROW(),COLUMN())</f>
        <v>21</v>
      </c>
      <c r="B31" s="1" t="str">
        <f>INDEX('測定結果'!$A:$XFD,ROW(),COLUMN())</f>
        <v>２階</v>
      </c>
      <c r="D31" s="1">
        <f>INDEX('測定結果'!$A:$XFD,ROW(),COLUMN())</f>
        <v>734</v>
      </c>
      <c r="E31" s="1">
        <f>INDEX('測定結果'!$A:$XFD,ROW(),COLUMN())</f>
        <v>640</v>
      </c>
      <c r="F31" s="1">
        <f>LOG(INDEX('測定結果'!$A:$XFD,ROW(),COLUMN()))</f>
        <v>1.0863598306747482</v>
      </c>
      <c r="G31" s="1">
        <f>LOG(INDEX('測定結果'!$A:$XFD,ROW(),COLUMN()))</f>
        <v>1.08278537031645</v>
      </c>
      <c r="H31" s="1">
        <f>LOG(INDEX('測定結果'!$A:$XFD,ROW(),COLUMN()))</f>
        <v>1.08278537031645</v>
      </c>
      <c r="I31" s="1">
        <f>LOG(INDEX('測定結果'!$A:$XFD,ROW(),COLUMN()))</f>
        <v>0.9943171526696367</v>
      </c>
      <c r="J31" s="1">
        <f>LOG(INDEX('測定結果'!$A:$XFD,ROW(),COLUMN()))</f>
        <v>0.9947569445876282</v>
      </c>
      <c r="K31" s="1">
        <f>LOG(INDEX('測定結果'!$A:$XFD,ROW(),COLUMN()))</f>
        <v>0.9951962915971795</v>
      </c>
      <c r="L31" s="1">
        <f>LOG(INDEX('測定結果'!$A:$XFD,ROW(),COLUMN()))</f>
        <v>1.0253058652647702</v>
      </c>
      <c r="M31" s="1">
        <f>LOG(INDEX('測定結果'!$A:$XFD,ROW(),COLUMN()))</f>
        <v>1.0253058652647702</v>
      </c>
      <c r="N31" s="1">
        <f>LOG(INDEX('測定結果'!$A:$XFD,ROW(),COLUMN()))</f>
        <v>1.0253058652647702</v>
      </c>
    </row>
    <row r="32" spans="1:14" ht="13.5">
      <c r="A32" s="1">
        <f>INDEX('測定結果'!$A:$XFD,ROW(),COLUMN())</f>
        <v>22</v>
      </c>
      <c r="B32" s="1" t="str">
        <f>INDEX('測定結果'!$A:$XFD,ROW(),COLUMN())</f>
        <v>２階</v>
      </c>
      <c r="D32" s="1">
        <f>INDEX('測定結果'!$A:$XFD,ROW(),COLUMN())</f>
        <v>734</v>
      </c>
      <c r="E32" s="1">
        <f>INDEX('測定結果'!$A:$XFD,ROW(),COLUMN())</f>
        <v>750</v>
      </c>
      <c r="F32" s="1">
        <f>LOG(INDEX('測定結果'!$A:$XFD,ROW(),COLUMN()))</f>
        <v>1.0969100130080565</v>
      </c>
      <c r="G32" s="1">
        <f>LOG(INDEX('測定結果'!$A:$XFD,ROW(),COLUMN()))</f>
        <v>1.0934216851622351</v>
      </c>
      <c r="H32" s="1">
        <f>LOG(INDEX('測定結果'!$A:$XFD,ROW(),COLUMN()))</f>
        <v>1.0969100130080565</v>
      </c>
      <c r="I32" s="1">
        <f>LOG(INDEX('測定結果'!$A:$XFD,ROW(),COLUMN()))</f>
        <v>0.9969492484953811</v>
      </c>
      <c r="J32" s="1">
        <f>LOG(INDEX('測定結果'!$A:$XFD,ROW(),COLUMN()))</f>
        <v>0.9965116721541787</v>
      </c>
      <c r="K32" s="1">
        <f>LOG(INDEX('測定結果'!$A:$XFD,ROW(),COLUMN()))</f>
        <v>0.9965116721541787</v>
      </c>
      <c r="L32" s="1">
        <f>LOG(INDEX('測定結果'!$A:$XFD,ROW(),COLUMN()))</f>
        <v>1.021189299069938</v>
      </c>
      <c r="M32" s="1">
        <f>LOG(INDEX('測定結果'!$A:$XFD,ROW(),COLUMN()))</f>
        <v>1.0253058652647702</v>
      </c>
      <c r="N32" s="1">
        <f>LOG(INDEX('測定結果'!$A:$XFD,ROW(),COLUMN()))</f>
        <v>1.0253058652647702</v>
      </c>
    </row>
    <row r="33" spans="1:14" ht="13.5">
      <c r="A33" s="1">
        <f>INDEX('測定結果'!$A:$XFD,ROW(),COLUMN())</f>
        <v>23</v>
      </c>
      <c r="B33" s="1" t="str">
        <f>INDEX('測定結果'!$A:$XFD,ROW(),COLUMN())</f>
        <v>２階</v>
      </c>
      <c r="D33" s="1">
        <f>INDEX('測定結果'!$A:$XFD,ROW(),COLUMN())</f>
        <v>608</v>
      </c>
      <c r="E33" s="1">
        <f>INDEX('測定結果'!$A:$XFD,ROW(),COLUMN())</f>
        <v>750</v>
      </c>
      <c r="F33" s="1">
        <f>LOG(INDEX('測定結果'!$A:$XFD,ROW(),COLUMN()))</f>
        <v>1.0569048513364727</v>
      </c>
      <c r="G33" s="1">
        <f>LOG(INDEX('測定結果'!$A:$XFD,ROW(),COLUMN()))</f>
        <v>1.0569048513364727</v>
      </c>
      <c r="H33" s="1">
        <f>LOG(INDEX('測定結果'!$A:$XFD,ROW(),COLUMN()))</f>
        <v>1.1238516409670858</v>
      </c>
      <c r="I33" s="1">
        <f>LOG(INDEX('測定結果'!$A:$XFD,ROW(),COLUMN()))</f>
        <v>0.9956351945975499</v>
      </c>
      <c r="J33" s="1">
        <f>LOG(INDEX('測定結果'!$A:$XFD,ROW(),COLUMN()))</f>
        <v>0.9943171526696367</v>
      </c>
      <c r="K33" s="1">
        <f>LOG(INDEX('測定結果'!$A:$XFD,ROW(),COLUMN()))</f>
        <v>0.9947569445876282</v>
      </c>
      <c r="L33" s="1">
        <f>LOG(INDEX('測定結果'!$A:$XFD,ROW(),COLUMN()))</f>
        <v>1.0253058652647702</v>
      </c>
      <c r="M33" s="1">
        <f>LOG(INDEX('測定結果'!$A:$XFD,ROW(),COLUMN()))</f>
        <v>1.021189299069938</v>
      </c>
      <c r="N33" s="1">
        <f>LOG(INDEX('測定結果'!$A:$XFD,ROW(),COLUMN()))</f>
        <v>1.0253058652647702</v>
      </c>
    </row>
    <row r="34" spans="1:14" ht="13.5">
      <c r="A34" s="1">
        <f>INDEX('測定結果'!$A:$XFD,ROW(),COLUMN())</f>
        <v>24</v>
      </c>
      <c r="B34" s="1" t="str">
        <f>INDEX('測定結果'!$A:$XFD,ROW(),COLUMN())</f>
        <v>２階</v>
      </c>
      <c r="D34" s="1">
        <f>INDEX('測定結果'!$A:$XFD,ROW(),COLUMN())</f>
        <v>608</v>
      </c>
      <c r="E34" s="1">
        <f>INDEX('測定結果'!$A:$XFD,ROW(),COLUMN())</f>
        <v>640</v>
      </c>
      <c r="F34" s="1">
        <f>LOG(INDEX('測定結果'!$A:$XFD,ROW(),COLUMN()))</f>
        <v>1.1139433523068367</v>
      </c>
      <c r="G34" s="1">
        <f>LOG(INDEX('測定結果'!$A:$XFD,ROW(),COLUMN()))</f>
        <v>1.1139433523068367</v>
      </c>
      <c r="H34" s="1">
        <f>LOG(INDEX('測定結果'!$A:$XFD,ROW(),COLUMN()))</f>
        <v>1.0791812460476249</v>
      </c>
      <c r="I34" s="1">
        <f>LOG(INDEX('測定結果'!$A:$XFD,ROW(),COLUMN()))</f>
        <v>0.9960736544852753</v>
      </c>
      <c r="J34" s="1">
        <f>LOG(INDEX('測定結果'!$A:$XFD,ROW(),COLUMN()))</f>
        <v>0.9956351945975499</v>
      </c>
      <c r="K34" s="1">
        <f>LOG(INDEX('測定結果'!$A:$XFD,ROW(),COLUMN()))</f>
        <v>0.9982593384236987</v>
      </c>
      <c r="L34" s="1">
        <f>LOG(INDEX('測定結果'!$A:$XFD,ROW(),COLUMN()))</f>
        <v>1.021189299069938</v>
      </c>
      <c r="M34" s="1">
        <f>LOG(INDEX('測定結果'!$A:$XFD,ROW(),COLUMN()))</f>
        <v>1.0374264979406236</v>
      </c>
      <c r="N34" s="1">
        <f>LOG(INDEX('測定結果'!$A:$XFD,ROW(),COLUMN()))</f>
        <v>1.0755469613925308</v>
      </c>
    </row>
    <row r="35" spans="1:14" ht="13.5">
      <c r="A35" s="1">
        <f>INDEX('測定結果'!$A:$XFD,ROW(),COLUMN())</f>
        <v>25</v>
      </c>
      <c r="B35" s="1" t="str">
        <f>INDEX('測定結果'!$A:$XFD,ROW(),COLUMN())</f>
        <v>２階</v>
      </c>
      <c r="D35" s="1">
        <f>INDEX('測定結果'!$A:$XFD,ROW(),COLUMN())</f>
        <v>824</v>
      </c>
      <c r="E35" s="1">
        <f>INDEX('測定結果'!$A:$XFD,ROW(),COLUMN())</f>
        <v>722</v>
      </c>
      <c r="F35" s="1">
        <f>LOG(INDEX('測定結果'!$A:$XFD,ROW(),COLUMN()))</f>
        <v>1.0718820073061255</v>
      </c>
      <c r="G35" s="1">
        <f>LOG(INDEX('測定結果'!$A:$XFD,ROW(),COLUMN()))</f>
        <v>1.0718820073061255</v>
      </c>
      <c r="H35" s="1">
        <f>LOG(INDEX('測定結果'!$A:$XFD,ROW(),COLUMN()))</f>
        <v>1.0718820073061255</v>
      </c>
      <c r="I35" s="1">
        <f>LOG(INDEX('測定結果'!$A:$XFD,ROW(),COLUMN()))</f>
        <v>0.9965116721541787</v>
      </c>
      <c r="J35" s="1">
        <f>LOG(INDEX('測定結果'!$A:$XFD,ROW(),COLUMN()))</f>
        <v>0.9965116721541787</v>
      </c>
      <c r="K35" s="1">
        <f>LOG(INDEX('測定結果'!$A:$XFD,ROW(),COLUMN()))</f>
        <v>0.9969492484953811</v>
      </c>
      <c r="L35" s="1">
        <f>LOG(INDEX('測定結果'!$A:$XFD,ROW(),COLUMN()))</f>
        <v>1.0128372247051722</v>
      </c>
      <c r="M35" s="1">
        <f>LOG(INDEX('測定結果'!$A:$XFD,ROW(),COLUMN()))</f>
        <v>1.0128372247051722</v>
      </c>
      <c r="N35" s="1">
        <f>LOG(INDEX('測定結果'!$A:$XFD,ROW(),COLUMN()))</f>
        <v>1.0128372247051722</v>
      </c>
    </row>
    <row r="36" spans="1:14" ht="13.5">
      <c r="A36" s="1">
        <f>INDEX('測定結果'!$A:$XFD,ROW(),COLUMN())</f>
        <v>26</v>
      </c>
      <c r="B36" s="1" t="str">
        <f>INDEX('測定結果'!$A:$XFD,ROW(),COLUMN())</f>
        <v>２階</v>
      </c>
      <c r="D36" s="1">
        <f>INDEX('測定結果'!$A:$XFD,ROW(),COLUMN())</f>
        <v>901</v>
      </c>
      <c r="E36" s="1">
        <f>INDEX('測定結果'!$A:$XFD,ROW(),COLUMN())</f>
        <v>722</v>
      </c>
      <c r="F36" s="1">
        <f>LOG(INDEX('測定結果'!$A:$XFD,ROW(),COLUMN()))</f>
        <v>1.0791812460476249</v>
      </c>
      <c r="G36" s="1">
        <f>LOG(INDEX('測定結果'!$A:$XFD,ROW(),COLUMN()))</f>
        <v>1.0718820073061255</v>
      </c>
      <c r="H36" s="1">
        <f>LOG(INDEX('測定結果'!$A:$XFD,ROW(),COLUMN()))</f>
        <v>1.0718820073061255</v>
      </c>
      <c r="I36" s="1">
        <f>LOG(INDEX('測定結果'!$A:$XFD,ROW(),COLUMN()))</f>
        <v>0.9965116721541787</v>
      </c>
      <c r="J36" s="1">
        <f>LOG(INDEX('測定結果'!$A:$XFD,ROW(),COLUMN()))</f>
        <v>0.9965116721541787</v>
      </c>
      <c r="K36" s="1">
        <f>LOG(INDEX('測定結果'!$A:$XFD,ROW(),COLUMN()))</f>
        <v>0.9969492484953811</v>
      </c>
      <c r="L36" s="1">
        <f>LOG(INDEX('測定結果'!$A:$XFD,ROW(),COLUMN()))</f>
        <v>1.0170333392987803</v>
      </c>
      <c r="M36" s="1">
        <f>LOG(INDEX('測定結果'!$A:$XFD,ROW(),COLUMN()))</f>
        <v>1.0170333392987803</v>
      </c>
      <c r="N36" s="1">
        <f>LOG(INDEX('測定結果'!$A:$XFD,ROW(),COLUMN()))</f>
        <v>1.0170333392987803</v>
      </c>
    </row>
    <row r="37" spans="1:14" ht="13.5">
      <c r="A37" s="1">
        <f>INDEX('測定結果'!$A:$XFD,ROW(),COLUMN())</f>
        <v>27</v>
      </c>
      <c r="B37" s="1" t="str">
        <f>INDEX('測定結果'!$A:$XFD,ROW(),COLUMN())</f>
        <v>２階</v>
      </c>
      <c r="D37" s="1">
        <f>INDEX('測定結果'!$A:$XFD,ROW(),COLUMN())</f>
        <v>907</v>
      </c>
      <c r="E37" s="1">
        <f>INDEX('測定結果'!$A:$XFD,ROW(),COLUMN())</f>
        <v>470</v>
      </c>
      <c r="F37" s="1">
        <f>LOG(INDEX('測定結果'!$A:$XFD,ROW(),COLUMN()))</f>
        <v>1.0334237554869496</v>
      </c>
      <c r="G37" s="1">
        <f>LOG(INDEX('測定結果'!$A:$XFD,ROW(),COLUMN()))</f>
        <v>1.0334237554869496</v>
      </c>
      <c r="H37" s="1">
        <f>LOG(INDEX('測定結果'!$A:$XFD,ROW(),COLUMN()))</f>
        <v>1.0374264979406236</v>
      </c>
      <c r="I37" s="1">
        <f>LOG(INDEX('測定結果'!$A:$XFD,ROW(),COLUMN()))</f>
        <v>1</v>
      </c>
      <c r="J37" s="1">
        <f>LOG(INDEX('測定結果'!$A:$XFD,ROW(),COLUMN()))</f>
        <v>1</v>
      </c>
      <c r="K37" s="1">
        <f>LOG(INDEX('測定結果'!$A:$XFD,ROW(),COLUMN()))</f>
        <v>1</v>
      </c>
      <c r="L37" s="1">
        <f>LOG(INDEX('測定結果'!$A:$XFD,ROW(),COLUMN()))</f>
        <v>0.9074113607745862</v>
      </c>
      <c r="M37" s="1">
        <f>LOG(INDEX('測定結果'!$A:$XFD,ROW(),COLUMN()))</f>
        <v>0.9095560292411753</v>
      </c>
      <c r="N37" s="1">
        <f>LOG(INDEX('測定結果'!$A:$XFD,ROW(),COLUMN()))</f>
        <v>0.9100905455940682</v>
      </c>
    </row>
    <row r="38" spans="1:14" ht="13.5">
      <c r="A38" s="1">
        <f>INDEX('測定結果'!$A:$XFD,ROW(),COLUMN())</f>
        <v>28</v>
      </c>
      <c r="B38" s="1" t="str">
        <f>INDEX('測定結果'!$A:$XFD,ROW(),COLUMN())</f>
        <v>２階</v>
      </c>
      <c r="D38" s="1">
        <f>INDEX('測定結果'!$A:$XFD,ROW(),COLUMN())</f>
        <v>750</v>
      </c>
      <c r="E38" s="1">
        <f>INDEX('測定結果'!$A:$XFD,ROW(),COLUMN())</f>
        <v>500</v>
      </c>
      <c r="F38" s="1">
        <f>LOG(INDEX('測定結果'!$A:$XFD,ROW(),COLUMN()))</f>
        <v>1.0606978403536116</v>
      </c>
      <c r="G38" s="1">
        <f>LOG(INDEX('測定結果'!$A:$XFD,ROW(),COLUMN()))</f>
        <v>1.0606978403536116</v>
      </c>
      <c r="H38" s="1">
        <f>LOG(INDEX('測定結果'!$A:$XFD,ROW(),COLUMN()))</f>
        <v>1.0569048513364727</v>
      </c>
      <c r="I38" s="1">
        <f>LOG(INDEX('測定結果'!$A:$XFD,ROW(),COLUMN()))</f>
        <v>0.9991305412873711</v>
      </c>
      <c r="J38" s="1">
        <f>LOG(INDEX('測定結果'!$A:$XFD,ROW(),COLUMN()))</f>
        <v>0.9991305412873711</v>
      </c>
      <c r="K38" s="1">
        <f>LOG(INDEX('測定結果'!$A:$XFD,ROW(),COLUMN()))</f>
        <v>0.9995654882259823</v>
      </c>
      <c r="L38" s="1">
        <f>LOG(INDEX('測定結果'!$A:$XFD,ROW(),COLUMN()))</f>
        <v>0.9703468762300933</v>
      </c>
      <c r="M38" s="1">
        <f>LOG(INDEX('測定結果'!$A:$XFD,ROW(),COLUMN()))</f>
        <v>0.9652017010259121</v>
      </c>
      <c r="N38" s="1">
        <f>LOG(INDEX('測定結果'!$A:$XFD,ROW(),COLUMN()))</f>
        <v>0.9684829485539351</v>
      </c>
    </row>
    <row r="39" spans="1:14" ht="13.5">
      <c r="A39" s="1">
        <f>INDEX('測定結果'!$A:$XFD,ROW(),COLUMN())</f>
        <v>29</v>
      </c>
      <c r="B39" s="1" t="str">
        <f>INDEX('測定結果'!$A:$XFD,ROW(),COLUMN())</f>
        <v>２階</v>
      </c>
      <c r="D39" s="1">
        <f>INDEX('測定結果'!$A:$XFD,ROW(),COLUMN())</f>
        <v>661</v>
      </c>
      <c r="E39" s="1">
        <f>INDEX('測定結果'!$A:$XFD,ROW(),COLUMN())</f>
        <v>521</v>
      </c>
      <c r="F39" s="1">
        <f>LOG(INDEX('測定結果'!$A:$XFD,ROW(),COLUMN()))</f>
        <v>1.0530784434834197</v>
      </c>
      <c r="G39" s="1">
        <f>LOG(INDEX('測定結果'!$A:$XFD,ROW(),COLUMN()))</f>
        <v>1.0530784434834197</v>
      </c>
      <c r="H39" s="1">
        <f>LOG(INDEX('測定結果'!$A:$XFD,ROW(),COLUMN()))</f>
        <v>1.0530784434834197</v>
      </c>
      <c r="I39" s="1">
        <f>LOG(INDEX('測定結果'!$A:$XFD,ROW(),COLUMN()))</f>
        <v>0.9973863843973133</v>
      </c>
      <c r="J39" s="1">
        <f>LOG(INDEX('測定結果'!$A:$XFD,ROW(),COLUMN()))</f>
        <v>0.9978230807457255</v>
      </c>
      <c r="K39" s="1">
        <f>LOG(INDEX('測定結果'!$A:$XFD,ROW(),COLUMN()))</f>
        <v>0.9986951583116558</v>
      </c>
      <c r="L39" s="1">
        <f>LOG(INDEX('測定結果'!$A:$XFD,ROW(),COLUMN()))</f>
        <v>0.967547976218862</v>
      </c>
      <c r="M39" s="1">
        <f>LOG(INDEX('測定結果'!$A:$XFD,ROW(),COLUMN()))</f>
        <v>0.9666109866819343</v>
      </c>
      <c r="N39" s="1">
        <f>LOG(INDEX('測定結果'!$A:$XFD,ROW(),COLUMN()))</f>
        <v>0.9479236198317263</v>
      </c>
    </row>
    <row r="40" spans="1:14" ht="13.5">
      <c r="A40" s="1">
        <f>INDEX('測定結果'!$A:$XFD,ROW(),COLUMN())</f>
        <v>30</v>
      </c>
      <c r="B40" s="1" t="str">
        <f>INDEX('測定結果'!$A:$XFD,ROW(),COLUMN())</f>
        <v>２階</v>
      </c>
      <c r="D40" s="1">
        <f>INDEX('測定結果'!$A:$XFD,ROW(),COLUMN())</f>
        <v>661</v>
      </c>
      <c r="E40" s="1">
        <f>INDEX('測定結果'!$A:$XFD,ROW(),COLUMN())</f>
        <v>418</v>
      </c>
      <c r="F40" s="1">
        <f>LOG(INDEX('測定結果'!$A:$XFD,ROW(),COLUMN()))</f>
        <v>1.0492180226701815</v>
      </c>
      <c r="G40" s="1">
        <f>LOG(INDEX('測定結果'!$A:$XFD,ROW(),COLUMN()))</f>
        <v>1.0492180226701815</v>
      </c>
      <c r="H40" s="1">
        <f>LOG(INDEX('測定結果'!$A:$XFD,ROW(),COLUMN()))</f>
        <v>1.0492180226701815</v>
      </c>
      <c r="I40" s="1">
        <f>LOG(INDEX('測定結果'!$A:$XFD,ROW(),COLUMN()))</f>
        <v>0.9956351945975499</v>
      </c>
      <c r="J40" s="1">
        <f>LOG(INDEX('測定結果'!$A:$XFD,ROW(),COLUMN()))</f>
        <v>0.9956351945975499</v>
      </c>
      <c r="K40" s="1">
        <f>LOG(INDEX('測定結果'!$A:$XFD,ROW(),COLUMN()))</f>
        <v>0.9960736544852753</v>
      </c>
      <c r="L40" s="1">
        <f>LOG(INDEX('測定結果'!$A:$XFD,ROW(),COLUMN()))</f>
        <v>0.9434945159061026</v>
      </c>
      <c r="M40" s="1">
        <f>LOG(INDEX('測定結果'!$A:$XFD,ROW(),COLUMN()))</f>
        <v>0.9420080530223133</v>
      </c>
      <c r="N40" s="1">
        <f>LOG(INDEX('測定結果'!$A:$XFD,ROW(),COLUMN()))</f>
        <v>0.9444826721501687</v>
      </c>
    </row>
    <row r="41" spans="1:14" ht="13.5">
      <c r="A41" s="1">
        <f>INDEX('測定結果'!$A:$XFD,ROW(),COLUMN())</f>
        <v>31</v>
      </c>
      <c r="B41" s="1" t="str">
        <f>INDEX('測定結果'!$A:$XFD,ROW(),COLUMN())</f>
        <v>２階</v>
      </c>
      <c r="D41" s="1">
        <f>INDEX('測定結果'!$A:$XFD,ROW(),COLUMN())</f>
        <v>798</v>
      </c>
      <c r="E41" s="1">
        <f>INDEX('測定結果'!$A:$XFD,ROW(),COLUMN())</f>
        <v>330</v>
      </c>
      <c r="F41" s="1">
        <f>LOG(INDEX('測定結果'!$A:$XFD,ROW(),COLUMN()))</f>
        <v>1.0530784434834197</v>
      </c>
      <c r="G41" s="1">
        <f>LOG(INDEX('測定結果'!$A:$XFD,ROW(),COLUMN()))</f>
        <v>1.0530784434834197</v>
      </c>
      <c r="H41" s="1">
        <f>LOG(INDEX('測定結果'!$A:$XFD,ROW(),COLUMN()))</f>
        <v>1.0569048513364727</v>
      </c>
      <c r="I41" s="1">
        <f>LOG(INDEX('測定結果'!$A:$XFD,ROW(),COLUMN()))</f>
        <v>0.9978230807457255</v>
      </c>
      <c r="J41" s="1">
        <f>LOG(INDEX('測定結果'!$A:$XFD,ROW(),COLUMN()))</f>
        <v>0.9978230807457255</v>
      </c>
      <c r="K41" s="1">
        <f>LOG(INDEX('測定結果'!$A:$XFD,ROW(),COLUMN()))</f>
        <v>0.9982593384236987</v>
      </c>
      <c r="L41" s="1">
        <f>LOG(INDEX('測定結果'!$A:$XFD,ROW(),COLUMN()))</f>
        <v>0.9122220565324155</v>
      </c>
      <c r="M41" s="1">
        <f>LOG(INDEX('測定結果'!$A:$XFD,ROW(),COLUMN()))</f>
        <v>0.912753303671323</v>
      </c>
      <c r="N41" s="1">
        <f>LOG(INDEX('測定結果'!$A:$XFD,ROW(),COLUMN()))</f>
        <v>0.9138138523837167</v>
      </c>
    </row>
    <row r="42" spans="1:14" ht="13.5">
      <c r="A42" s="1">
        <f>INDEX('測定結果'!$A:$XFD,ROW(),COLUMN())</f>
        <v>32</v>
      </c>
      <c r="B42" s="1" t="str">
        <f>INDEX('測定結果'!$A:$XFD,ROW(),COLUMN())</f>
        <v>２階</v>
      </c>
      <c r="D42" s="1">
        <f>INDEX('測定結果'!$A:$XFD,ROW(),COLUMN())</f>
        <v>798</v>
      </c>
      <c r="E42" s="1">
        <f>INDEX('測定結果'!$A:$XFD,ROW(),COLUMN())</f>
        <v>230</v>
      </c>
      <c r="F42" s="1">
        <f>LOG(INDEX('測定結果'!$A:$XFD,ROW(),COLUMN()))</f>
        <v>1.0374264979406236</v>
      </c>
      <c r="G42" s="1">
        <f>LOG(INDEX('測定結果'!$A:$XFD,ROW(),COLUMN()))</f>
        <v>1.0413926851582251</v>
      </c>
      <c r="H42" s="1">
        <f>LOG(INDEX('測定結果'!$A:$XFD,ROW(),COLUMN()))</f>
        <v>1.0453229787866574</v>
      </c>
      <c r="I42" s="1">
        <f>LOG(INDEX('測定結果'!$A:$XFD,ROW(),COLUMN()))</f>
        <v>0.9982593384236987</v>
      </c>
      <c r="J42" s="1">
        <f>LOG(INDEX('測定結果'!$A:$XFD,ROW(),COLUMN()))</f>
        <v>0.9978230807457255</v>
      </c>
      <c r="K42" s="1">
        <f>LOG(INDEX('測定結果'!$A:$XFD,ROW(),COLUMN()))</f>
        <v>0.9982593384236987</v>
      </c>
      <c r="L42" s="1">
        <f>LOG(INDEX('測定結果'!$A:$XFD,ROW(),COLUMN()))</f>
        <v>0.9164539485499251</v>
      </c>
      <c r="M42" s="1">
        <f>LOG(INDEX('測定結果'!$A:$XFD,ROW(),COLUMN()))</f>
        <v>0.9731278535996987</v>
      </c>
      <c r="N42" s="1">
        <f>LOG(INDEX('測定結果'!$A:$XFD,ROW(),COLUMN()))</f>
        <v>1.0253058652647702</v>
      </c>
    </row>
    <row r="43" spans="1:14" ht="13.5">
      <c r="A43" s="1">
        <f>INDEX('測定結果'!$A:$XFD,ROW(),COLUMN())</f>
        <v>33</v>
      </c>
      <c r="B43" s="1" t="str">
        <f>INDEX('測定結果'!$A:$XFD,ROW(),COLUMN())</f>
        <v>２階</v>
      </c>
      <c r="D43" s="1">
        <f>INDEX('測定結果'!$A:$XFD,ROW(),COLUMN())</f>
        <v>690</v>
      </c>
      <c r="E43" s="1">
        <f>INDEX('測定結果'!$A:$XFD,ROW(),COLUMN())</f>
        <v>230</v>
      </c>
      <c r="F43" s="1">
        <f>LOG(INDEX('測定結果'!$A:$XFD,ROW(),COLUMN()))</f>
        <v>1.0453229787866574</v>
      </c>
      <c r="G43" s="1">
        <f>LOG(INDEX('測定結果'!$A:$XFD,ROW(),COLUMN()))</f>
        <v>1.0453229787866574</v>
      </c>
      <c r="H43" s="1">
        <f>LOG(INDEX('測定結果'!$A:$XFD,ROW(),COLUMN()))</f>
        <v>1.0492180226701815</v>
      </c>
      <c r="I43" s="1">
        <f>LOG(INDEX('測定結果'!$A:$XFD,ROW(),COLUMN()))</f>
        <v>1</v>
      </c>
      <c r="J43" s="1">
        <f>LOG(INDEX('測定結果'!$A:$XFD,ROW(),COLUMN()))</f>
        <v>1</v>
      </c>
      <c r="K43" s="1">
        <f>LOG(INDEX('測定結果'!$A:$XFD,ROW(),COLUMN()))</f>
        <v>0.9986951583116558</v>
      </c>
      <c r="L43" s="1">
        <f>LOG(INDEX('測定結果'!$A:$XFD,ROW(),COLUMN()))</f>
        <v>0.9689496809813426</v>
      </c>
      <c r="M43" s="1">
        <f>LOG(INDEX('測定結果'!$A:$XFD,ROW(),COLUMN()))</f>
        <v>0.9758911364017928</v>
      </c>
      <c r="N43" s="1">
        <f>LOG(INDEX('測定結果'!$A:$XFD,ROW(),COLUMN()))</f>
        <v>0.9800033715837464</v>
      </c>
    </row>
    <row r="44" spans="1:14" ht="13.5">
      <c r="A44" s="1">
        <f>INDEX('測定結果'!$A:$XFD,ROW(),COLUMN())</f>
        <v>34</v>
      </c>
      <c r="B44" s="1" t="str">
        <f>INDEX('測定結果'!$A:$XFD,ROW(),COLUMN())</f>
        <v>２階</v>
      </c>
      <c r="D44" s="1">
        <f>INDEX('測定結果'!$A:$XFD,ROW(),COLUMN())</f>
        <v>690</v>
      </c>
      <c r="E44" s="1">
        <f>INDEX('測定結果'!$A:$XFD,ROW(),COLUMN())</f>
        <v>330</v>
      </c>
      <c r="F44" s="1">
        <f>LOG(INDEX('測定結果'!$A:$XFD,ROW(),COLUMN()))</f>
        <v>1.0530784434834197</v>
      </c>
      <c r="G44" s="1">
        <f>LOG(INDEX('測定結果'!$A:$XFD,ROW(),COLUMN()))</f>
        <v>1.0530784434834197</v>
      </c>
      <c r="H44" s="1">
        <f>LOG(INDEX('測定結果'!$A:$XFD,ROW(),COLUMN()))</f>
        <v>1.0569048513364727</v>
      </c>
      <c r="I44" s="1">
        <f>LOG(INDEX('測定結果'!$A:$XFD,ROW(),COLUMN()))</f>
        <v>1</v>
      </c>
      <c r="J44" s="1">
        <f>LOG(INDEX('測定結果'!$A:$XFD,ROW(),COLUMN()))</f>
        <v>1</v>
      </c>
      <c r="K44" s="1">
        <f>LOG(INDEX('測定結果'!$A:$XFD,ROW(),COLUMN()))</f>
        <v>1</v>
      </c>
      <c r="L44" s="1">
        <f>LOG(INDEX('測定結果'!$A:$XFD,ROW(),COLUMN()))</f>
        <v>0.9840770339028309</v>
      </c>
      <c r="M44" s="1">
        <f>LOG(INDEX('測定結果'!$A:$XFD,ROW(),COLUMN()))</f>
        <v>0.9934362304976118</v>
      </c>
      <c r="N44" s="1">
        <f>LOG(INDEX('測定結果'!$A:$XFD,ROW(),COLUMN()))</f>
        <v>1.0043213737826426</v>
      </c>
    </row>
    <row r="45" spans="1:14" ht="13.5">
      <c r="A45" s="1">
        <f>INDEX('測定結果'!$A:$XFD,ROW(),COLUMN())</f>
        <v>35</v>
      </c>
      <c r="B45" s="1" t="str">
        <f>INDEX('測定結果'!$A:$XFD,ROW(),COLUMN())</f>
        <v>２階</v>
      </c>
      <c r="D45" s="1">
        <f>INDEX('測定結果'!$A:$XFD,ROW(),COLUMN())</f>
        <v>605</v>
      </c>
      <c r="E45" s="1">
        <f>INDEX('測定結果'!$A:$XFD,ROW(),COLUMN())</f>
        <v>260</v>
      </c>
      <c r="F45" s="1">
        <f>LOG(INDEX('測定結果'!$A:$XFD,ROW(),COLUMN()))</f>
        <v>1.0934216851622351</v>
      </c>
      <c r="G45" s="1">
        <f>LOG(INDEX('測定結果'!$A:$XFD,ROW(),COLUMN()))</f>
        <v>1.0969100130080565</v>
      </c>
      <c r="H45" s="1">
        <f>LOG(INDEX('測定結果'!$A:$XFD,ROW(),COLUMN()))</f>
        <v>1.110589710299249</v>
      </c>
      <c r="I45" s="1">
        <f>LOG(INDEX('測定結果'!$A:$XFD,ROW(),COLUMN()))</f>
        <v>1</v>
      </c>
      <c r="J45" s="1">
        <f>LOG(INDEX('測定結果'!$A:$XFD,ROW(),COLUMN()))</f>
        <v>1</v>
      </c>
      <c r="K45" s="1">
        <f>LOG(INDEX('測定結果'!$A:$XFD,ROW(),COLUMN()))</f>
        <v>1</v>
      </c>
      <c r="L45" s="1">
        <f>LOG(INDEX('測定結果'!$A:$XFD,ROW(),COLUMN()))</f>
        <v>1.0569048513364727</v>
      </c>
      <c r="M45" s="1">
        <f>LOG(INDEX('測定結果'!$A:$XFD,ROW(),COLUMN()))</f>
        <v>1.0755469613925308</v>
      </c>
      <c r="N45" s="1">
        <f>LOG(INDEX('測定結果'!$A:$XFD,ROW(),COLUMN()))</f>
        <v>1.08278537031645</v>
      </c>
    </row>
    <row r="46" spans="1:14" ht="13.5">
      <c r="A46" s="1">
        <f>INDEX('測定結果'!$A:$XFD,ROW(),COLUMN())</f>
        <v>36</v>
      </c>
      <c r="B46" s="1" t="str">
        <f>INDEX('測定結果'!$A:$XFD,ROW(),COLUMN())</f>
        <v>２階</v>
      </c>
      <c r="D46" s="1">
        <f>INDEX('測定結果'!$A:$XFD,ROW(),COLUMN())</f>
        <v>605</v>
      </c>
      <c r="E46" s="1">
        <f>INDEX('測定結果'!$A:$XFD,ROW(),COLUMN())</f>
        <v>379</v>
      </c>
      <c r="F46" s="1">
        <f>LOG(INDEX('測定結果'!$A:$XFD,ROW(),COLUMN()))</f>
        <v>1.0569048513364727</v>
      </c>
      <c r="G46" s="1">
        <f>LOG(INDEX('測定結果'!$A:$XFD,ROW(),COLUMN()))</f>
        <v>1.0606978403536116</v>
      </c>
      <c r="H46" s="1">
        <f>LOG(INDEX('測定結果'!$A:$XFD,ROW(),COLUMN()))</f>
        <v>1.1430148002540952</v>
      </c>
      <c r="I46" s="1">
        <f>LOG(INDEX('測定結果'!$A:$XFD,ROW(),COLUMN()))</f>
        <v>1</v>
      </c>
      <c r="J46" s="1">
        <f>LOG(INDEX('測定結果'!$A:$XFD,ROW(),COLUMN()))</f>
        <v>1</v>
      </c>
      <c r="K46" s="1">
        <f>LOG(INDEX('測定結果'!$A:$XFD,ROW(),COLUMN()))</f>
        <v>0.9982593384236987</v>
      </c>
      <c r="L46" s="1">
        <f>LOG(INDEX('測定結果'!$A:$XFD,ROW(),COLUMN()))</f>
        <v>0.8709888137605752</v>
      </c>
      <c r="M46" s="1">
        <f>LOG(INDEX('測定結果'!$A:$XFD,ROW(),COLUMN()))</f>
        <v>1.0644579892269184</v>
      </c>
      <c r="N46" s="1">
        <f>LOG(INDEX('測定結果'!$A:$XFD,ROW(),COLUMN()))</f>
        <v>1.0681858617461617</v>
      </c>
    </row>
    <row r="47" spans="1:14" ht="13.5">
      <c r="A47" s="1">
        <f>INDEX('測定結果'!$A:$XFD,ROW(),COLUMN())</f>
        <v>37</v>
      </c>
      <c r="B47" s="1" t="str">
        <f>INDEX('測定結果'!$A:$XFD,ROW(),COLUMN())</f>
        <v>２階</v>
      </c>
      <c r="D47" s="1">
        <f>INDEX('測定結果'!$A:$XFD,ROW(),COLUMN())</f>
        <v>605</v>
      </c>
      <c r="E47" s="1">
        <f>INDEX('測定結果'!$A:$XFD,ROW(),COLUMN())</f>
        <v>485</v>
      </c>
      <c r="F47" s="1">
        <f>LOG(INDEX('測定結果'!$A:$XFD,ROW(),COLUMN()))</f>
        <v>1.0293837776852097</v>
      </c>
      <c r="G47" s="1">
        <f>LOG(INDEX('測定結果'!$A:$XFD,ROW(),COLUMN()))</f>
        <v>1.0293837776852097</v>
      </c>
      <c r="H47" s="1">
        <f>LOG(INDEX('測定結果'!$A:$XFD,ROW(),COLUMN()))</f>
        <v>1.1818435879447726</v>
      </c>
      <c r="I47" s="1">
        <f>LOG(INDEX('測定結果'!$A:$XFD,ROW(),COLUMN()))</f>
        <v>0.9982593384236987</v>
      </c>
      <c r="J47" s="1">
        <f>LOG(INDEX('測定結果'!$A:$XFD,ROW(),COLUMN()))</f>
        <v>0.9982593384236987</v>
      </c>
      <c r="K47" s="1">
        <f>LOG(INDEX('測定結果'!$A:$XFD,ROW(),COLUMN()))</f>
        <v>0.9978230807457255</v>
      </c>
      <c r="L47" s="1">
        <f>LOG(INDEX('測定結果'!$A:$XFD,ROW(),COLUMN()))</f>
        <v>1.0934216851622351</v>
      </c>
      <c r="M47" s="1">
        <f>LOG(INDEX('測定結果'!$A:$XFD,ROW(),COLUMN()))</f>
        <v>1.0492180226701815</v>
      </c>
      <c r="N47" s="1">
        <f>LOG(INDEX('測定結果'!$A:$XFD,ROW(),COLUMN()))</f>
        <v>0.8668778143374989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26" sqref="G26"/>
    </sheetView>
  </sheetViews>
  <sheetFormatPr defaultColWidth="9.00390625" defaultRowHeight="14.25"/>
  <cols>
    <col min="1" max="1" width="6.375" style="1" customWidth="1"/>
    <col min="2" max="2" width="4.125" style="1" customWidth="1"/>
    <col min="3" max="5" width="9.00390625" style="1" customWidth="1"/>
    <col min="6" max="6" width="18.00390625" style="1" customWidth="1"/>
    <col min="7" max="7" width="11.625" style="1" bestFit="1" customWidth="1"/>
    <col min="8" max="9" width="10.50390625" style="1" bestFit="1" customWidth="1"/>
    <col min="10" max="10" width="11.625" style="1" bestFit="1" customWidth="1"/>
    <col min="11" max="12" width="10.50390625" style="1" bestFit="1" customWidth="1"/>
    <col min="13" max="13" width="11.625" style="1" bestFit="1" customWidth="1"/>
    <col min="14" max="15" width="10.50390625" style="1" bestFit="1" customWidth="1"/>
    <col min="16" max="16384" width="9.00390625" style="1" customWidth="1"/>
  </cols>
  <sheetData>
    <row r="1" spans="7:15" ht="13.5">
      <c r="G1" s="1">
        <v>6</v>
      </c>
      <c r="H1" s="1">
        <v>9</v>
      </c>
      <c r="I1" s="1">
        <v>12</v>
      </c>
      <c r="J1" s="1">
        <v>7</v>
      </c>
      <c r="K1" s="1">
        <v>10</v>
      </c>
      <c r="L1" s="1">
        <v>13</v>
      </c>
      <c r="M1" s="1">
        <v>8</v>
      </c>
      <c r="N1" s="1">
        <v>11</v>
      </c>
      <c r="O1" s="1">
        <v>14</v>
      </c>
    </row>
    <row r="2" spans="5:15" ht="13.5">
      <c r="E2" s="1" t="s">
        <v>45</v>
      </c>
      <c r="G2" s="1" t="str">
        <f>IF(INT((G1-1)/26)=0,"",CHAR(INT((G1-1)/26)+64))&amp;CHAR(IF(MOD(G1,26)=0,26,MOD(G1,26))+64)</f>
        <v>F</v>
      </c>
      <c r="H2" s="1" t="str">
        <f>IF(INT((H1-1)/26)=0,"",CHAR(INT((H1-1)/26)+64))&amp;CHAR(IF(MOD(H1,26)=0,26,MOD(H1,26))+64)</f>
        <v>I</v>
      </c>
      <c r="I2" s="1" t="str">
        <f>IF(INT((I1-1)/26)=0,"",CHAR(INT((I1-1)/26)+64))&amp;CHAR(IF(MOD(I1,26)=0,26,MOD(I1,26))+64)</f>
        <v>L</v>
      </c>
      <c r="J2" s="1" t="str">
        <f aca="true" t="shared" si="0" ref="J2:O2">IF(INT((J1-1)/26)=0,"",CHAR(INT((J1-1)/26)+64))&amp;CHAR(IF(MOD(J1,26)=0,26,MOD(J1,26))+64)</f>
        <v>G</v>
      </c>
      <c r="K2" s="1" t="str">
        <f>IF(INT((K1-1)/26)=0,"",CHAR(INT((K1-1)/26)+64))&amp;CHAR(IF(MOD(K1,26)=0,26,MOD(K1,26))+64)</f>
        <v>J</v>
      </c>
      <c r="L2" s="1" t="str">
        <f>IF(INT((L1-1)/26)=0,"",CHAR(INT((L1-1)/26)+64))&amp;CHAR(IF(MOD(L1,26)=0,26,MOD(L1,26))+64)</f>
        <v>M</v>
      </c>
      <c r="M2" s="1" t="str">
        <f t="shared" si="0"/>
        <v>H</v>
      </c>
      <c r="N2" s="1" t="str">
        <f t="shared" si="0"/>
        <v>K</v>
      </c>
      <c r="O2" s="1" t="str">
        <f t="shared" si="0"/>
        <v>N</v>
      </c>
    </row>
    <row r="3" spans="7:15" ht="13.5">
      <c r="G3" s="1">
        <v>6</v>
      </c>
      <c r="H3" s="1">
        <v>9</v>
      </c>
      <c r="I3" s="1">
        <v>12</v>
      </c>
      <c r="J3" s="1">
        <v>7</v>
      </c>
      <c r="K3" s="1">
        <v>10</v>
      </c>
      <c r="L3" s="1">
        <v>13</v>
      </c>
      <c r="M3" s="1">
        <v>8</v>
      </c>
      <c r="N3" s="1">
        <v>11</v>
      </c>
      <c r="O3" s="1">
        <v>14</v>
      </c>
    </row>
    <row r="4" spans="5:15" ht="13.5">
      <c r="E4" s="1" t="s">
        <v>46</v>
      </c>
      <c r="G4" s="1" t="str">
        <f>IF(INT((G3-1)/26)=0,"",CHAR(INT((G3-1)/26)+64))&amp;CHAR(IF(MOD(G3,26)=0,26,MOD(G3,26))+64)</f>
        <v>F</v>
      </c>
      <c r="H4" s="1" t="str">
        <f>IF(INT((H3-1)/26)=0,"",CHAR(INT((H3-1)/26)+64))&amp;CHAR(IF(MOD(H3,26)=0,26,MOD(H3,26))+64)</f>
        <v>I</v>
      </c>
      <c r="I4" s="1" t="str">
        <f>IF(INT((I3-1)/26)=0,"",CHAR(INT((I3-1)/26)+64))&amp;CHAR(IF(MOD(I3,26)=0,26,MOD(I3,26))+64)</f>
        <v>L</v>
      </c>
      <c r="J4" s="1" t="str">
        <f aca="true" t="shared" si="1" ref="J4:O4">IF(INT((J3-1)/26)=0,"",CHAR(INT((J3-1)/26)+64))&amp;CHAR(IF(MOD(J3,26)=0,26,MOD(J3,26))+64)</f>
        <v>G</v>
      </c>
      <c r="K4" s="1" t="str">
        <f>IF(INT((K3-1)/26)=0,"",CHAR(INT((K3-1)/26)+64))&amp;CHAR(IF(MOD(K3,26)=0,26,MOD(K3,26))+64)</f>
        <v>J</v>
      </c>
      <c r="L4" s="1" t="str">
        <f>IF(INT((L3-1)/26)=0,"",CHAR(INT((L3-1)/26)+64))&amp;CHAR(IF(MOD(L3,26)=0,26,MOD(L3,26))+64)</f>
        <v>M</v>
      </c>
      <c r="M4" s="1" t="str">
        <f t="shared" si="1"/>
        <v>H</v>
      </c>
      <c r="N4" s="1" t="str">
        <f t="shared" si="1"/>
        <v>K</v>
      </c>
      <c r="O4" s="1" t="str">
        <f t="shared" si="1"/>
        <v>N</v>
      </c>
    </row>
    <row r="6" spans="6:15" ht="13.5">
      <c r="F6" s="1" t="s">
        <v>47</v>
      </c>
      <c r="G6" s="1">
        <v>0</v>
      </c>
      <c r="H6" s="1">
        <f>DATEDIF(G9,H9,"D")</f>
        <v>113</v>
      </c>
      <c r="I6" s="1">
        <f>DATEDIF(H9,I9,"D")</f>
        <v>69</v>
      </c>
      <c r="J6" s="1">
        <f aca="true" t="shared" si="2" ref="J6:O7">G6</f>
        <v>0</v>
      </c>
      <c r="K6" s="1">
        <f t="shared" si="2"/>
        <v>113</v>
      </c>
      <c r="L6" s="1">
        <f t="shared" si="2"/>
        <v>69</v>
      </c>
      <c r="M6" s="1">
        <f t="shared" si="2"/>
        <v>0</v>
      </c>
      <c r="N6" s="1">
        <f t="shared" si="2"/>
        <v>113</v>
      </c>
      <c r="O6" s="1">
        <f t="shared" si="2"/>
        <v>69</v>
      </c>
    </row>
    <row r="7" spans="6:15" ht="13.5">
      <c r="F7" s="1" t="s">
        <v>48</v>
      </c>
      <c r="G7" s="1">
        <f>SUM(F6)+SUM(G6)</f>
        <v>0</v>
      </c>
      <c r="H7" s="1">
        <f>SUM(M7)+SUM(H6)</f>
        <v>113</v>
      </c>
      <c r="I7" s="1">
        <f>SUM(N7)+SUM(I6)</f>
        <v>182</v>
      </c>
      <c r="J7" s="1">
        <f t="shared" si="2"/>
        <v>0</v>
      </c>
      <c r="K7" s="1">
        <f t="shared" si="2"/>
        <v>113</v>
      </c>
      <c r="L7" s="1">
        <f t="shared" si="2"/>
        <v>182</v>
      </c>
      <c r="M7" s="1">
        <f t="shared" si="2"/>
        <v>0</v>
      </c>
      <c r="N7" s="1">
        <f t="shared" si="2"/>
        <v>113</v>
      </c>
      <c r="O7" s="1">
        <f t="shared" si="2"/>
        <v>182</v>
      </c>
    </row>
    <row r="8" spans="6:15" ht="13.5">
      <c r="F8" s="1" t="s">
        <v>49</v>
      </c>
      <c r="G8" s="1">
        <f>DATEDIF(DATE(2011,3,11),G9,"d")</f>
        <v>260</v>
      </c>
      <c r="H8" s="1">
        <f>DATEDIF(DATE(2011,3,11),H9,"d")</f>
        <v>373</v>
      </c>
      <c r="I8" s="1">
        <f>DATEDIF(DATE(2011,3,11),I9,"d")</f>
        <v>442</v>
      </c>
      <c r="J8" s="1">
        <f aca="true" t="shared" si="3" ref="J8:O8">DATEDIF(DATE(2011,3,11),J9,"d")</f>
        <v>260</v>
      </c>
      <c r="K8" s="1">
        <f>DATEDIF(DATE(2011,3,11),K9,"d")</f>
        <v>373</v>
      </c>
      <c r="L8" s="1">
        <f>DATEDIF(DATE(2011,3,11),L9,"d")</f>
        <v>442</v>
      </c>
      <c r="M8" s="1">
        <f t="shared" si="3"/>
        <v>260</v>
      </c>
      <c r="N8" s="1">
        <f t="shared" si="3"/>
        <v>373</v>
      </c>
      <c r="O8" s="1">
        <f t="shared" si="3"/>
        <v>442</v>
      </c>
    </row>
    <row r="9" spans="6:15" ht="13.5">
      <c r="F9" s="1" t="s">
        <v>50</v>
      </c>
      <c r="G9" s="14">
        <f>INDEX('測定結果'!$A:$XFD,4,Ave_Calc!G1)</f>
        <v>40873</v>
      </c>
      <c r="H9" s="14">
        <f>INDEX('測定結果'!$A:$XFD,4,Ave_Calc!H1)</f>
        <v>40986</v>
      </c>
      <c r="I9" s="14">
        <f>INDEX('測定結果'!$A:$XFD,4,Ave_Calc!I1)</f>
        <v>41055</v>
      </c>
      <c r="J9" s="14">
        <f>INDEX('測定結果'!$A:$XFD,4,Ave_Calc!J1)</f>
        <v>40873</v>
      </c>
      <c r="K9" s="14">
        <f>INDEX('測定結果'!$A:$XFD,4,Ave_Calc!K1)</f>
        <v>40986</v>
      </c>
      <c r="L9" s="14">
        <f>INDEX('測定結果'!$A:$XFD,4,Ave_Calc!L1)</f>
        <v>41055</v>
      </c>
      <c r="M9" s="14">
        <f>INDEX('測定結果'!$A:$XFD,4,Ave_Calc!M1)</f>
        <v>40873</v>
      </c>
      <c r="N9" s="14">
        <f>INDEX('測定結果'!$A:$XFD,4,Ave_Calc!N1)</f>
        <v>40986</v>
      </c>
      <c r="O9" s="14">
        <f>INDEX('測定結果'!$A:$XFD,4,Ave_Calc!O1)</f>
        <v>41055</v>
      </c>
    </row>
    <row r="10" spans="1:15" ht="13.5">
      <c r="A10" s="1" t="s">
        <v>51</v>
      </c>
      <c r="B10" s="1" t="s">
        <v>73</v>
      </c>
      <c r="C10" s="1" t="s">
        <v>52</v>
      </c>
      <c r="D10" s="1" t="s">
        <v>53</v>
      </c>
      <c r="E10" s="1" t="s">
        <v>54</v>
      </c>
      <c r="F10" s="1" t="s">
        <v>74</v>
      </c>
      <c r="G10" s="1" t="str">
        <f>INDEX('測定結果'!$A:$XFD,1,G1)</f>
        <v>1cm</v>
      </c>
      <c r="H10" s="1" t="str">
        <f>INDEX('測定結果'!$A:$XFD,1,H1)</f>
        <v>1cm</v>
      </c>
      <c r="I10" s="1" t="str">
        <f>INDEX('測定結果'!$A:$XFD,1,I1)</f>
        <v>1cm</v>
      </c>
      <c r="J10" s="1" t="str">
        <f>INDEX('測定結果'!$A:$XFD,1,J1)</f>
        <v>1m</v>
      </c>
      <c r="K10" s="1" t="str">
        <f>INDEX('測定結果'!$A:$XFD,1,K1)</f>
        <v>1m</v>
      </c>
      <c r="L10" s="1" t="str">
        <f>INDEX('測定結果'!$A:$XFD,1,L1)</f>
        <v>1m</v>
      </c>
      <c r="M10" s="1" t="str">
        <f>INDEX('測定結果'!$A:$XFD,1,M1)</f>
        <v>2m</v>
      </c>
      <c r="N10" s="1" t="str">
        <f>INDEX('測定結果'!$A:$XFD,1,N1)</f>
        <v>2m</v>
      </c>
      <c r="O10" s="1" t="str">
        <f>INDEX('測定結果'!$A:$XFD,1,O1)</f>
        <v>2m</v>
      </c>
    </row>
    <row r="11" spans="1:15" ht="13.5">
      <c r="A11" s="1">
        <v>11</v>
      </c>
      <c r="B11" s="1" t="s">
        <v>43</v>
      </c>
      <c r="C11" s="1">
        <v>11</v>
      </c>
      <c r="D11" s="1">
        <v>26</v>
      </c>
      <c r="E11" s="1" t="s">
        <v>45</v>
      </c>
      <c r="G11" s="1" t="str">
        <f>$E11&amp;"!"&amp;G$2&amp;$A11&amp;":"&amp;G$2&amp;$D11</f>
        <v>測定結果!F11:F26</v>
      </c>
      <c r="H11" s="1" t="str">
        <f>$E11&amp;"!"&amp;H$2&amp;$A11&amp;":"&amp;H$2&amp;$D11</f>
        <v>測定結果!I11:I26</v>
      </c>
      <c r="I11" s="1" t="str">
        <f>$E11&amp;"!"&amp;I$2&amp;$A11&amp;":"&amp;I$2&amp;$D11</f>
        <v>測定結果!L11:L26</v>
      </c>
      <c r="J11" s="1" t="str">
        <f aca="true" t="shared" si="4" ref="J11:O11">$E11&amp;"!"&amp;J$2&amp;$A11&amp;":"&amp;J$2&amp;$D11</f>
        <v>測定結果!G11:G26</v>
      </c>
      <c r="K11" s="1" t="str">
        <f>$E11&amp;"!"&amp;K$2&amp;$A11&amp;":"&amp;K$2&amp;$D11</f>
        <v>測定結果!J11:J26</v>
      </c>
      <c r="L11" s="1" t="str">
        <f>$E11&amp;"!"&amp;L$2&amp;$A11&amp;":"&amp;L$2&amp;$D11</f>
        <v>測定結果!M11:M26</v>
      </c>
      <c r="M11" s="1" t="str">
        <f t="shared" si="4"/>
        <v>測定結果!H11:H26</v>
      </c>
      <c r="N11" s="1" t="str">
        <f t="shared" si="4"/>
        <v>測定結果!K11:K26</v>
      </c>
      <c r="O11" s="1" t="str">
        <f t="shared" si="4"/>
        <v>測定結果!N11:N26</v>
      </c>
    </row>
    <row r="12" spans="5:15" ht="13.5">
      <c r="E12" s="1" t="s">
        <v>46</v>
      </c>
      <c r="G12" s="1" t="str">
        <f>$E12&amp;"!"&amp;G$4&amp;$A11&amp;":"&amp;G$4&amp;$D11</f>
        <v>LOG_Calc!F11:F26</v>
      </c>
      <c r="H12" s="1" t="str">
        <f>$E12&amp;"!"&amp;H$4&amp;$A11&amp;":"&amp;H$4&amp;$D11</f>
        <v>LOG_Calc!I11:I26</v>
      </c>
      <c r="I12" s="1" t="str">
        <f>$E12&amp;"!"&amp;I$4&amp;$A11&amp;":"&amp;I$4&amp;$D11</f>
        <v>LOG_Calc!L11:L26</v>
      </c>
      <c r="J12" s="1" t="str">
        <f aca="true" t="shared" si="5" ref="J12:O12">$E12&amp;"!"&amp;J$4&amp;$A11&amp;":"&amp;J$4&amp;$D11</f>
        <v>LOG_Calc!G11:G26</v>
      </c>
      <c r="K12" s="1" t="str">
        <f>$E12&amp;"!"&amp;K$4&amp;$A11&amp;":"&amp;K$4&amp;$D11</f>
        <v>LOG_Calc!J11:J26</v>
      </c>
      <c r="L12" s="1" t="str">
        <f>$E12&amp;"!"&amp;L$4&amp;$A11&amp;":"&amp;L$4&amp;$D11</f>
        <v>LOG_Calc!M11:M26</v>
      </c>
      <c r="M12" s="1" t="str">
        <f t="shared" si="5"/>
        <v>LOG_Calc!H11:H26</v>
      </c>
      <c r="N12" s="1" t="str">
        <f t="shared" si="5"/>
        <v>LOG_Calc!K11:K26</v>
      </c>
      <c r="O12" s="1" t="str">
        <f t="shared" si="5"/>
        <v>LOG_Calc!N11:N26</v>
      </c>
    </row>
    <row r="13" spans="6:15" ht="13.5">
      <c r="F13" s="1" t="s">
        <v>55</v>
      </c>
      <c r="G13" s="1">
        <f ca="1">MAX(INDIRECT(G11))</f>
        <v>13</v>
      </c>
      <c r="H13" s="1">
        <f ca="1">MAX(INDIRECT(H11))</f>
        <v>13.4</v>
      </c>
      <c r="I13" s="1">
        <f ca="1">MAX(INDIRECT(I11))</f>
        <v>9.49</v>
      </c>
      <c r="J13" s="1">
        <f aca="true" ca="1" t="shared" si="6" ref="J13:O13">MAX(INDIRECT(J11))</f>
        <v>13</v>
      </c>
      <c r="K13" s="1">
        <f ca="1">MAX(INDIRECT(K11))</f>
        <v>13.4</v>
      </c>
      <c r="L13" s="1">
        <f ca="1">MAX(INDIRECT(L11))</f>
        <v>10.2</v>
      </c>
      <c r="M13" s="1">
        <f ca="1" t="shared" si="6"/>
        <v>14.5</v>
      </c>
      <c r="N13" s="1">
        <f ca="1" t="shared" si="6"/>
        <v>13.5</v>
      </c>
      <c r="O13" s="1">
        <f ca="1" t="shared" si="6"/>
        <v>10.5</v>
      </c>
    </row>
    <row r="14" spans="6:15" ht="13.5">
      <c r="F14" s="1" t="s">
        <v>56</v>
      </c>
      <c r="G14" s="1">
        <f ca="1">MIN(INDIRECT(G11))</f>
        <v>7.8</v>
      </c>
      <c r="H14" s="1">
        <f ca="1">MIN(INDIRECT(H11))</f>
        <v>10</v>
      </c>
      <c r="I14" s="1">
        <f ca="1">MIN(INDIRECT(I11))</f>
        <v>5.14</v>
      </c>
      <c r="J14" s="1">
        <f aca="true" ca="1" t="shared" si="7" ref="J14:O14">MIN(INDIRECT(J11))</f>
        <v>7.71</v>
      </c>
      <c r="K14" s="1">
        <f ca="1">MIN(INDIRECT(K11))</f>
        <v>10</v>
      </c>
      <c r="L14" s="1">
        <f ca="1">MIN(INDIRECT(L11))</f>
        <v>6.04</v>
      </c>
      <c r="M14" s="1">
        <f ca="1" t="shared" si="7"/>
        <v>7.97</v>
      </c>
      <c r="N14" s="1">
        <f ca="1" t="shared" si="7"/>
        <v>10</v>
      </c>
      <c r="O14" s="1">
        <f ca="1" t="shared" si="7"/>
        <v>6.04</v>
      </c>
    </row>
    <row r="15" spans="6:15" ht="13.5">
      <c r="F15" s="1" t="s">
        <v>57</v>
      </c>
      <c r="G15" s="1">
        <f ca="1">AVERAGE(INDIRECT(G11))</f>
        <v>10.161250000000003</v>
      </c>
      <c r="H15" s="1">
        <f ca="1">AVERAGE(INDIRECT(H11))</f>
        <v>11.143750000000002</v>
      </c>
      <c r="I15" s="1">
        <f ca="1">AVERAGE(INDIRECT(I11))</f>
        <v>7.374999999999999</v>
      </c>
      <c r="J15" s="1">
        <f aca="true" ca="1" t="shared" si="8" ref="J15:O15">AVERAGE(INDIRECT(J11))</f>
        <v>10.114999999999998</v>
      </c>
      <c r="K15" s="1">
        <f ca="1">AVERAGE(INDIRECT(K11))</f>
        <v>11.143750000000002</v>
      </c>
      <c r="L15" s="1">
        <f ca="1">AVERAGE(INDIRECT(L11))</f>
        <v>7.689375</v>
      </c>
      <c r="M15" s="1">
        <f ca="1" t="shared" si="8"/>
        <v>11.129375000000001</v>
      </c>
      <c r="N15" s="1">
        <f ca="1" t="shared" si="8"/>
        <v>11.181250000000002</v>
      </c>
      <c r="O15" s="1">
        <f ca="1" t="shared" si="8"/>
        <v>7.80625</v>
      </c>
    </row>
    <row r="16" spans="6:15" ht="13.5">
      <c r="F16" s="1" t="s">
        <v>58</v>
      </c>
      <c r="G16" s="1">
        <f ca="1">IF(G$10="有",#N/A,AVERAGE(INDIRECT(G11)))</f>
        <v>10.161250000000003</v>
      </c>
      <c r="H16" s="1">
        <f ca="1">IF(H$10="有",#N/A,AVERAGE(INDIRECT(H11)))</f>
        <v>11.143750000000002</v>
      </c>
      <c r="I16" s="1">
        <f ca="1">IF(I$10="有",#N/A,AVERAGE(INDIRECT(I11)))</f>
        <v>7.374999999999999</v>
      </c>
      <c r="J16" s="1">
        <f aca="true" ca="1" t="shared" si="9" ref="J16:O16">IF(J$10="有",#N/A,AVERAGE(INDIRECT(J11)))</f>
        <v>10.114999999999998</v>
      </c>
      <c r="K16" s="1">
        <f ca="1">IF(K$10="有",#N/A,AVERAGE(INDIRECT(K11)))</f>
        <v>11.143750000000002</v>
      </c>
      <c r="L16" s="1">
        <f ca="1">IF(L$10="有",#N/A,AVERAGE(INDIRECT(L11)))</f>
        <v>7.689375</v>
      </c>
      <c r="M16" s="1">
        <f ca="1" t="shared" si="9"/>
        <v>11.129375000000001</v>
      </c>
      <c r="N16" s="1">
        <f ca="1" t="shared" si="9"/>
        <v>11.181250000000002</v>
      </c>
      <c r="O16" s="1">
        <f ca="1" t="shared" si="9"/>
        <v>7.80625</v>
      </c>
    </row>
    <row r="17" spans="6:15" ht="13.5">
      <c r="F17" s="1" t="s">
        <v>59</v>
      </c>
      <c r="G17" s="1">
        <f ca="1">STDEV(INDIRECT(G11))</f>
        <v>1.7734143151935144</v>
      </c>
      <c r="H17" s="1">
        <f ca="1">STDEV(INDIRECT(H11))</f>
        <v>1.0676883128204075</v>
      </c>
      <c r="I17" s="1">
        <f ca="1">STDEV(INDIRECT(I11))</f>
        <v>1.223187093893115</v>
      </c>
      <c r="J17" s="1">
        <f aca="true" ca="1" t="shared" si="10" ref="J17:O17">STDEV(INDIRECT(J11))</f>
        <v>1.7979321455494484</v>
      </c>
      <c r="K17" s="1">
        <f ca="1">STDEV(INDIRECT(K11))</f>
        <v>1.0340656007558757</v>
      </c>
      <c r="L17" s="1">
        <f ca="1">STDEV(INDIRECT(L11))</f>
        <v>1.2958882089130994</v>
      </c>
      <c r="M17" s="1">
        <f ca="1" t="shared" si="10"/>
        <v>2.045940594608414</v>
      </c>
      <c r="N17" s="1">
        <f ca="1" t="shared" si="10"/>
        <v>1.0753100328122185</v>
      </c>
      <c r="O17" s="1">
        <f ca="1" t="shared" si="10"/>
        <v>1.4100206854274597</v>
      </c>
    </row>
    <row r="18" spans="6:15" ht="13.5">
      <c r="F18" s="1" t="s">
        <v>60</v>
      </c>
      <c r="G18" s="1">
        <f ca="1">MAX(INDIRECT(G12))</f>
        <v>1.1139433523068367</v>
      </c>
      <c r="H18" s="1">
        <f ca="1">MAX(INDIRECT(H12))</f>
        <v>1.1271047983648077</v>
      </c>
      <c r="I18" s="1">
        <f ca="1">MAX(INDIRECT(I12))</f>
        <v>0.9772662124272927</v>
      </c>
      <c r="J18" s="1">
        <f aca="true" ca="1" t="shared" si="11" ref="J18:O18">MAX(INDIRECT(J12))</f>
        <v>1.1139433523068367</v>
      </c>
      <c r="K18" s="1">
        <f ca="1">MAX(INDIRECT(K12))</f>
        <v>1.1271047983648077</v>
      </c>
      <c r="L18" s="1">
        <f ca="1">MAX(INDIRECT(L12))</f>
        <v>1.0086001717619175</v>
      </c>
      <c r="M18" s="1">
        <f ca="1" t="shared" si="11"/>
        <v>1.1613680022349748</v>
      </c>
      <c r="N18" s="1">
        <f ca="1" t="shared" si="11"/>
        <v>1.130333768495006</v>
      </c>
      <c r="O18" s="1">
        <f ca="1" t="shared" si="11"/>
        <v>1.021189299069938</v>
      </c>
    </row>
    <row r="19" spans="6:15" ht="13.5">
      <c r="F19" s="1" t="s">
        <v>61</v>
      </c>
      <c r="G19" s="1">
        <f ca="1">MIN(INDIRECT(G12))</f>
        <v>0.8920946026904804</v>
      </c>
      <c r="H19" s="1">
        <f ca="1">MIN(INDIRECT(H12))</f>
        <v>1</v>
      </c>
      <c r="I19" s="1">
        <f ca="1">MIN(INDIRECT(I12))</f>
        <v>0.7109631189952758</v>
      </c>
      <c r="J19" s="1">
        <f aca="true" ca="1" t="shared" si="12" ref="J19:O19">MIN(INDIRECT(J12))</f>
        <v>0.887054378050957</v>
      </c>
      <c r="K19" s="1">
        <f ca="1">MIN(INDIRECT(K12))</f>
        <v>1</v>
      </c>
      <c r="L19" s="1">
        <f ca="1">MIN(INDIRECT(L12))</f>
        <v>0.7810369386211319</v>
      </c>
      <c r="M19" s="1">
        <f ca="1" t="shared" si="12"/>
        <v>0.9014583213961124</v>
      </c>
      <c r="N19" s="1">
        <f ca="1" t="shared" si="12"/>
        <v>1</v>
      </c>
      <c r="O19" s="1">
        <f ca="1" t="shared" si="12"/>
        <v>0.7810369386211319</v>
      </c>
    </row>
    <row r="20" spans="6:15" ht="13.5">
      <c r="F20" s="1" t="s">
        <v>62</v>
      </c>
      <c r="G20" s="1">
        <f ca="1">AVERAGE(INDIRECT(G12))</f>
        <v>1.0005400756002965</v>
      </c>
      <c r="H20" s="1">
        <f ca="1">AVERAGE(INDIRECT(H12))</f>
        <v>1.0452585029061086</v>
      </c>
      <c r="I20" s="1">
        <f ca="1">AVERAGE(INDIRECT(I12))</f>
        <v>0.8622351608625092</v>
      </c>
      <c r="J20" s="1">
        <f aca="true" ca="1" t="shared" si="13" ref="J20:O20">AVERAGE(INDIRECT(J12))</f>
        <v>0.998299376987462</v>
      </c>
      <c r="K20" s="1">
        <f ca="1">AVERAGE(INDIRECT(K12))</f>
        <v>1.0453636342741977</v>
      </c>
      <c r="L20" s="1">
        <f ca="1">AVERAGE(INDIRECT(L12))</f>
        <v>0.880406571492704</v>
      </c>
      <c r="M20" s="1">
        <f ca="1" t="shared" si="13"/>
        <v>1.0393731178303194</v>
      </c>
      <c r="N20" s="1">
        <f ca="1" t="shared" si="13"/>
        <v>1.0466996654919742</v>
      </c>
      <c r="O20" s="1">
        <f ca="1" t="shared" si="13"/>
        <v>0.8862133778501058</v>
      </c>
    </row>
    <row r="21" spans="6:15" ht="13.5">
      <c r="F21" s="1" t="s">
        <v>63</v>
      </c>
      <c r="G21" s="1">
        <f aca="true" ca="1" t="shared" si="14" ref="G21:O21">IF(G$10="有","",AVERAGE(INDIRECT(G12)))</f>
        <v>1.0005400756002965</v>
      </c>
      <c r="H21" s="1">
        <f ca="1">IF(H$10="有","",AVERAGE(INDIRECT(H12)))</f>
        <v>1.0452585029061086</v>
      </c>
      <c r="I21" s="1">
        <f ca="1">IF(I$10="有","",AVERAGE(INDIRECT(I12)))</f>
        <v>0.8622351608625092</v>
      </c>
      <c r="J21" s="1">
        <f ca="1" t="shared" si="14"/>
        <v>0.998299376987462</v>
      </c>
      <c r="K21" s="1">
        <f ca="1">IF(K$10="有","",AVERAGE(INDIRECT(K12)))</f>
        <v>1.0453636342741977</v>
      </c>
      <c r="L21" s="1">
        <f ca="1">IF(L$10="有","",AVERAGE(INDIRECT(L12)))</f>
        <v>0.880406571492704</v>
      </c>
      <c r="M21" s="1">
        <f ca="1" t="shared" si="14"/>
        <v>1.0393731178303194</v>
      </c>
      <c r="N21" s="1">
        <f ca="1" t="shared" si="14"/>
        <v>1.0466996654919742</v>
      </c>
      <c r="O21" s="1">
        <f ca="1" t="shared" si="14"/>
        <v>0.8862133778501058</v>
      </c>
    </row>
    <row r="22" spans="6:15" ht="13.5">
      <c r="F22" s="1" t="s">
        <v>64</v>
      </c>
      <c r="G22" s="1">
        <f ca="1">STDEV(INDIRECT(G12))</f>
        <v>0.07769629466745126</v>
      </c>
      <c r="H22" s="1">
        <f ca="1">STDEV(INDIRECT(H12))</f>
        <v>0.04000492239862838</v>
      </c>
      <c r="I22" s="1">
        <f ca="1">STDEV(INDIRECT(I12))</f>
        <v>0.07148203686155134</v>
      </c>
      <c r="J22" s="1">
        <f aca="true" ca="1" t="shared" si="15" ref="J22:O22">STDEV(INDIRECT(J12))</f>
        <v>0.07930714826761306</v>
      </c>
      <c r="K22" s="1">
        <f ca="1">STDEV(INDIRECT(K12))</f>
        <v>0.038828878388279545</v>
      </c>
      <c r="L22" s="1">
        <f ca="1">STDEV(INDIRECT(L12))</f>
        <v>0.07038333325320595</v>
      </c>
      <c r="M22" s="1">
        <f ca="1" t="shared" si="15"/>
        <v>0.08184728318588849</v>
      </c>
      <c r="N22" s="1">
        <f ca="1" t="shared" si="15"/>
        <v>0.04023075367919649</v>
      </c>
      <c r="O22" s="1">
        <f ca="1" t="shared" si="15"/>
        <v>0.07479941790148571</v>
      </c>
    </row>
    <row r="23" spans="6:15" ht="13.5">
      <c r="F23" s="1" t="s">
        <v>65</v>
      </c>
      <c r="G23" s="1">
        <f>10^G20</f>
        <v>10.012443435801607</v>
      </c>
      <c r="H23" s="1">
        <f>10^H20</f>
        <v>11.098352202984346</v>
      </c>
      <c r="I23" s="1">
        <f>10^I20</f>
        <v>7.281739879256426</v>
      </c>
      <c r="J23" s="1">
        <f aca="true" t="shared" si="16" ref="J23:O23">10^J20</f>
        <v>9.960918276640983</v>
      </c>
      <c r="K23" s="1">
        <f>10^K20</f>
        <v>11.101039149825164</v>
      </c>
      <c r="L23" s="1">
        <f>10^L20</f>
        <v>7.592880616670298</v>
      </c>
      <c r="M23" s="1">
        <f t="shared" si="16"/>
        <v>10.94896626928754</v>
      </c>
      <c r="N23" s="1">
        <f t="shared" si="16"/>
        <v>11.13524214316631</v>
      </c>
      <c r="O23" s="1">
        <f t="shared" si="16"/>
        <v>7.695084228074247</v>
      </c>
    </row>
    <row r="24" spans="6:15" ht="13.5">
      <c r="F24" s="1" t="s">
        <v>66</v>
      </c>
      <c r="G24" s="1">
        <f>10^G22</f>
        <v>1.1959039343853504</v>
      </c>
      <c r="H24" s="1">
        <f>10^H22</f>
        <v>1.0964906239625125</v>
      </c>
      <c r="I24" s="1">
        <f>10^I22</f>
        <v>1.1789137604113216</v>
      </c>
      <c r="J24" s="1">
        <f aca="true" t="shared" si="17" ref="J24:O24">10^J22</f>
        <v>1.2003479311201828</v>
      </c>
      <c r="K24" s="1">
        <f>10^K22</f>
        <v>1.0935254082267856</v>
      </c>
      <c r="L24" s="1">
        <f>10^L22</f>
        <v>1.1759350448078656</v>
      </c>
      <c r="M24" s="1">
        <f t="shared" si="17"/>
        <v>1.2073891899374471</v>
      </c>
      <c r="N24" s="1">
        <f t="shared" si="17"/>
        <v>1.0970609426849092</v>
      </c>
      <c r="O24" s="1">
        <f t="shared" si="17"/>
        <v>1.1879534356893386</v>
      </c>
    </row>
    <row r="25" spans="6:15" ht="13.5">
      <c r="F25" s="1" t="s">
        <v>67</v>
      </c>
      <c r="G25" s="1">
        <f aca="true" t="shared" si="18" ref="G25:O25">IF(ISERROR(G21),"",G23)</f>
        <v>10.012443435801607</v>
      </c>
      <c r="H25" s="1">
        <f>IF(ISERROR(H21),"",H23)</f>
        <v>11.098352202984346</v>
      </c>
      <c r="I25" s="1">
        <f>IF(ISERROR(I21),"",I23)</f>
        <v>7.281739879256426</v>
      </c>
      <c r="J25" s="1">
        <f t="shared" si="18"/>
        <v>9.960918276640983</v>
      </c>
      <c r="K25" s="1">
        <f>IF(ISERROR(K21),"",K23)</f>
        <v>11.101039149825164</v>
      </c>
      <c r="L25" s="1">
        <f>IF(ISERROR(L21),"",L23)</f>
        <v>7.592880616670298</v>
      </c>
      <c r="M25" s="1">
        <f t="shared" si="18"/>
        <v>10.94896626928754</v>
      </c>
      <c r="N25" s="1">
        <f t="shared" si="18"/>
        <v>11.13524214316631</v>
      </c>
      <c r="O25" s="1">
        <f t="shared" si="18"/>
        <v>7.695084228074247</v>
      </c>
    </row>
    <row r="26" spans="3:15" ht="13.5">
      <c r="C26" s="1" t="s">
        <v>69</v>
      </c>
      <c r="D26" s="1" t="s">
        <v>70</v>
      </c>
      <c r="E26" s="1" t="s">
        <v>71</v>
      </c>
      <c r="F26" s="1" t="s">
        <v>68</v>
      </c>
      <c r="G26" s="1">
        <f>SLOPE($G21:$I21,$G$8:$I$8)</f>
        <v>-0.0006464824653083444</v>
      </c>
      <c r="H26" s="1">
        <f>INTERCEPT($G21:$I21,$G$8:$I$8)</f>
        <v>1.2010007965251281</v>
      </c>
      <c r="I26" s="1">
        <f>RSQ($G21:$I21,$G$8:$I$8)</f>
        <v>0.3875534210333453</v>
      </c>
      <c r="J26" s="1">
        <f>SLOPE($J21:$L21,$J$8:$L$8)</f>
        <v>-0.0005432989864288682</v>
      </c>
      <c r="K26" s="1">
        <f>INTERCEPT($J21:$L21,$J$8:$L$8)</f>
        <v>1.169371997721799</v>
      </c>
      <c r="L26" s="1">
        <f>RSQ($J21:$L21,$J$8:$L$8)</f>
        <v>0.34510962321327093</v>
      </c>
      <c r="M26" s="1">
        <f>SLOPE($M21:$O21,$M$8:$O$8)</f>
        <v>-0.0007525709053168713</v>
      </c>
      <c r="N26" s="1">
        <f>INTERCEPT($M21:$O21,$M$8:$O$8)</f>
        <v>1.260433294796012</v>
      </c>
      <c r="O26" s="1">
        <f>RSQ($M21:$O21,$M$8:$O$8)</f>
        <v>0.5823025098487044</v>
      </c>
    </row>
    <row r="27" spans="1:15" ht="13.5">
      <c r="A27" s="1">
        <f>D11+1</f>
        <v>27</v>
      </c>
      <c r="B27" s="1" t="s">
        <v>44</v>
      </c>
      <c r="C27" s="1">
        <v>27</v>
      </c>
      <c r="D27" s="1">
        <v>47</v>
      </c>
      <c r="E27" s="1" t="s">
        <v>45</v>
      </c>
      <c r="G27" s="1" t="str">
        <f>$E27&amp;"!"&amp;G$2&amp;$A27&amp;":"&amp;G$2&amp;$D27</f>
        <v>測定結果!F27:F47</v>
      </c>
      <c r="H27" s="1" t="str">
        <f>$E27&amp;"!"&amp;H$2&amp;$A27&amp;":"&amp;H$2&amp;$D27</f>
        <v>測定結果!I27:I47</v>
      </c>
      <c r="I27" s="1" t="str">
        <f>$E27&amp;"!"&amp;I$2&amp;$A27&amp;":"&amp;I$2&amp;$D27</f>
        <v>測定結果!L27:L47</v>
      </c>
      <c r="J27" s="1" t="str">
        <f aca="true" t="shared" si="19" ref="J27:O27">$E27&amp;"!"&amp;J$2&amp;$A27&amp;":"&amp;J$2&amp;$D27</f>
        <v>測定結果!G27:G47</v>
      </c>
      <c r="K27" s="1" t="str">
        <f>$E27&amp;"!"&amp;K$2&amp;$A27&amp;":"&amp;K$2&amp;$D27</f>
        <v>測定結果!J27:J47</v>
      </c>
      <c r="L27" s="1" t="str">
        <f>$E27&amp;"!"&amp;L$2&amp;$A27&amp;":"&amp;L$2&amp;$D27</f>
        <v>測定結果!M27:M47</v>
      </c>
      <c r="M27" s="1" t="str">
        <f t="shared" si="19"/>
        <v>測定結果!H27:H47</v>
      </c>
      <c r="N27" s="1" t="str">
        <f t="shared" si="19"/>
        <v>測定結果!K27:K47</v>
      </c>
      <c r="O27" s="1" t="str">
        <f t="shared" si="19"/>
        <v>測定結果!N27:N47</v>
      </c>
    </row>
    <row r="28" spans="5:15" ht="13.5">
      <c r="E28" s="1" t="s">
        <v>46</v>
      </c>
      <c r="G28" s="1" t="str">
        <f aca="true" t="shared" si="20" ref="G28:O28">$E28&amp;"!"&amp;G$4&amp;$A27&amp;":"&amp;G$4&amp;$D27</f>
        <v>LOG_Calc!F27:F47</v>
      </c>
      <c r="H28" s="1" t="str">
        <f>$E28&amp;"!"&amp;H$4&amp;$A27&amp;":"&amp;H$4&amp;$D27</f>
        <v>LOG_Calc!I27:I47</v>
      </c>
      <c r="I28" s="1" t="str">
        <f>$E28&amp;"!"&amp;I$4&amp;$A27&amp;":"&amp;I$4&amp;$D27</f>
        <v>LOG_Calc!L27:L47</v>
      </c>
      <c r="J28" s="1" t="str">
        <f t="shared" si="20"/>
        <v>LOG_Calc!G27:G47</v>
      </c>
      <c r="K28" s="1" t="str">
        <f>$E28&amp;"!"&amp;K$4&amp;$A27&amp;":"&amp;K$4&amp;$D27</f>
        <v>LOG_Calc!J27:J47</v>
      </c>
      <c r="L28" s="1" t="str">
        <f>$E28&amp;"!"&amp;L$4&amp;$A27&amp;":"&amp;L$4&amp;$D27</f>
        <v>LOG_Calc!M27:M47</v>
      </c>
      <c r="M28" s="1" t="str">
        <f t="shared" si="20"/>
        <v>LOG_Calc!H27:H47</v>
      </c>
      <c r="N28" s="1" t="str">
        <f t="shared" si="20"/>
        <v>LOG_Calc!K27:K47</v>
      </c>
      <c r="O28" s="1" t="str">
        <f t="shared" si="20"/>
        <v>LOG_Calc!N27:N47</v>
      </c>
    </row>
    <row r="29" spans="6:15" ht="13.5">
      <c r="F29" s="1" t="s">
        <v>55</v>
      </c>
      <c r="G29" s="1">
        <f ca="1">MAX(INDIRECT(G27))</f>
        <v>13.1</v>
      </c>
      <c r="H29" s="1">
        <f ca="1">MAX(INDIRECT(H27))</f>
        <v>10.8</v>
      </c>
      <c r="I29" s="1">
        <f ca="1">MAX(INDIRECT(I27))</f>
        <v>12.4</v>
      </c>
      <c r="J29" s="1">
        <f aca="true" ca="1" t="shared" si="21" ref="J29:O29">MAX(INDIRECT(J27))</f>
        <v>13</v>
      </c>
      <c r="K29" s="1">
        <f ca="1">MAX(INDIRECT(K27))</f>
        <v>10.8</v>
      </c>
      <c r="L29" s="1">
        <f ca="1">MAX(INDIRECT(L27))</f>
        <v>11.9</v>
      </c>
      <c r="M29" s="1">
        <f ca="1" t="shared" si="21"/>
        <v>15.2</v>
      </c>
      <c r="N29" s="1">
        <f ca="1" t="shared" si="21"/>
        <v>10.8</v>
      </c>
      <c r="O29" s="1">
        <f ca="1" t="shared" si="21"/>
        <v>12.1</v>
      </c>
    </row>
    <row r="30" spans="6:15" ht="13.5">
      <c r="F30" s="1" t="s">
        <v>56</v>
      </c>
      <c r="G30" s="1">
        <f ca="1">MIN(INDIRECT(G27))</f>
        <v>10.7</v>
      </c>
      <c r="H30" s="1">
        <f ca="1">MIN(INDIRECT(H27))</f>
        <v>9.87</v>
      </c>
      <c r="I30" s="1">
        <f ca="1">MIN(INDIRECT(I27))</f>
        <v>6.65</v>
      </c>
      <c r="J30" s="1">
        <f aca="true" ca="1" t="shared" si="22" ref="J30:O30">MIN(INDIRECT(J27))</f>
        <v>10.7</v>
      </c>
      <c r="K30" s="1">
        <f ca="1">MIN(INDIRECT(K27))</f>
        <v>9.87</v>
      </c>
      <c r="L30" s="1">
        <f ca="1">MIN(INDIRECT(L27))</f>
        <v>6.66</v>
      </c>
      <c r="M30" s="1">
        <f ca="1" t="shared" si="22"/>
        <v>10.7</v>
      </c>
      <c r="N30" s="1">
        <f ca="1" t="shared" si="22"/>
        <v>9.88</v>
      </c>
      <c r="O30" s="1">
        <f ca="1" t="shared" si="22"/>
        <v>7.36</v>
      </c>
    </row>
    <row r="31" spans="6:15" ht="13.5">
      <c r="F31" s="1" t="s">
        <v>57</v>
      </c>
      <c r="G31" s="1">
        <f ca="1">AVERAGE(INDIRECT(G27))</f>
        <v>11.557142857142859</v>
      </c>
      <c r="H31" s="1">
        <f ca="1">AVERAGE(INDIRECT(H27))</f>
        <v>9.997142857142858</v>
      </c>
      <c r="I31" s="1">
        <f ca="1">AVERAGE(INDIRECT(I27))</f>
        <v>9.319047619047618</v>
      </c>
      <c r="J31" s="1">
        <f aca="true" ca="1" t="shared" si="23" ref="J31:O31">AVERAGE(INDIRECT(J27))</f>
        <v>11.471428571428572</v>
      </c>
      <c r="K31" s="1">
        <f ca="1">AVERAGE(INDIRECT(K27))</f>
        <v>9.995238095238095</v>
      </c>
      <c r="L31" s="1">
        <f ca="1">AVERAGE(INDIRECT(L27))</f>
        <v>9.56047619047619</v>
      </c>
      <c r="M31" s="1">
        <f ca="1" t="shared" si="23"/>
        <v>11.933333333333334</v>
      </c>
      <c r="N31" s="1">
        <f ca="1" t="shared" si="23"/>
        <v>9.99904761904762</v>
      </c>
      <c r="O31" s="1">
        <f ca="1" t="shared" si="23"/>
        <v>9.705714285714285</v>
      </c>
    </row>
    <row r="32" spans="6:15" ht="13.5">
      <c r="F32" s="1" t="s">
        <v>58</v>
      </c>
      <c r="G32" s="1">
        <f ca="1">IF(G$10="有",#N/A,AVERAGE(INDIRECT(G27)))</f>
        <v>11.557142857142859</v>
      </c>
      <c r="H32" s="1">
        <f ca="1">IF(H$10="有",#N/A,AVERAGE(INDIRECT(H27)))</f>
        <v>9.997142857142858</v>
      </c>
      <c r="I32" s="1">
        <f ca="1">IF(I$10="有",#N/A,AVERAGE(INDIRECT(I27)))</f>
        <v>9.319047619047618</v>
      </c>
      <c r="J32" s="1">
        <f aca="true" ca="1" t="shared" si="24" ref="J32:O32">IF(J$10="有",#N/A,AVERAGE(INDIRECT(J27)))</f>
        <v>11.471428571428572</v>
      </c>
      <c r="K32" s="1">
        <f ca="1">IF(K$10="有",#N/A,AVERAGE(INDIRECT(K27)))</f>
        <v>9.995238095238095</v>
      </c>
      <c r="L32" s="1">
        <f ca="1">IF(L$10="有",#N/A,AVERAGE(INDIRECT(L27)))</f>
        <v>9.56047619047619</v>
      </c>
      <c r="M32" s="1">
        <f ca="1" t="shared" si="24"/>
        <v>11.933333333333334</v>
      </c>
      <c r="N32" s="1">
        <f ca="1" t="shared" si="24"/>
        <v>9.99904761904762</v>
      </c>
      <c r="O32" s="1">
        <f ca="1" t="shared" si="24"/>
        <v>9.705714285714285</v>
      </c>
    </row>
    <row r="33" spans="6:15" ht="13.5">
      <c r="F33" s="1" t="s">
        <v>59</v>
      </c>
      <c r="G33" s="1">
        <f ca="1">STDEV(INDIRECT(G27))</f>
        <v>0.7194243730729357</v>
      </c>
      <c r="H33" s="1">
        <f ca="1">STDEV(INDIRECT(H27))</f>
        <v>0.1887099058645456</v>
      </c>
      <c r="I33" s="1">
        <f ca="1">STDEV(INDIRECT(I27))</f>
        <v>1.4520258426140538</v>
      </c>
      <c r="J33" s="1">
        <f aca="true" ca="1" t="shared" si="25" ref="J33:O33">STDEV(INDIRECT(J27))</f>
        <v>0.6157457731424933</v>
      </c>
      <c r="K33" s="1">
        <f ca="1">STDEV(INDIRECT(K27))</f>
        <v>0.1896739056280156</v>
      </c>
      <c r="L33" s="1">
        <f ca="1">STDEV(INDIRECT(L27))</f>
        <v>1.4070837792771116</v>
      </c>
      <c r="M33" s="1">
        <f ca="1" t="shared" si="25"/>
        <v>1.1420741365311313</v>
      </c>
      <c r="N33" s="1">
        <f ca="1" t="shared" si="25"/>
        <v>0.18729401383665958</v>
      </c>
      <c r="O33" s="1">
        <f ca="1" t="shared" si="25"/>
        <v>1.4331035253203908</v>
      </c>
    </row>
    <row r="34" spans="6:15" ht="13.5">
      <c r="F34" s="1" t="s">
        <v>60</v>
      </c>
      <c r="G34" s="1">
        <f ca="1">MAX(INDIRECT(G28))</f>
        <v>1.1172712956557642</v>
      </c>
      <c r="H34" s="1">
        <f ca="1">MAX(INDIRECT(H28))</f>
        <v>1.0334237554869496</v>
      </c>
      <c r="I34" s="1">
        <f ca="1">MAX(INDIRECT(I28))</f>
        <v>1.0934216851622351</v>
      </c>
      <c r="J34" s="1">
        <f aca="true" ca="1" t="shared" si="26" ref="J34:O34">MAX(INDIRECT(J28))</f>
        <v>1.1139433523068367</v>
      </c>
      <c r="K34" s="1">
        <f ca="1">MAX(INDIRECT(K28))</f>
        <v>1.0334237554869496</v>
      </c>
      <c r="L34" s="1">
        <f ca="1">MAX(INDIRECT(L28))</f>
        <v>1.0755469613925308</v>
      </c>
      <c r="M34" s="1">
        <f ca="1" t="shared" si="26"/>
        <v>1.1818435879447726</v>
      </c>
      <c r="N34" s="1">
        <f ca="1" t="shared" si="26"/>
        <v>1.0334237554869496</v>
      </c>
      <c r="O34" s="1">
        <f ca="1" t="shared" si="26"/>
        <v>1.08278537031645</v>
      </c>
    </row>
    <row r="35" spans="6:15" ht="13.5">
      <c r="F35" s="1" t="s">
        <v>61</v>
      </c>
      <c r="G35" s="1">
        <f ca="1">MIN(INDIRECT(G28))</f>
        <v>1.0293837776852097</v>
      </c>
      <c r="H35" s="1">
        <f ca="1">MIN(INDIRECT(H28))</f>
        <v>0.9943171526696367</v>
      </c>
      <c r="I35" s="1">
        <f ca="1">MIN(INDIRECT(I28))</f>
        <v>0.8228216453031046</v>
      </c>
      <c r="J35" s="1">
        <f aca="true" ca="1" t="shared" si="27" ref="J35:O35">MIN(INDIRECT(J28))</f>
        <v>1.0293837776852097</v>
      </c>
      <c r="K35" s="1">
        <f ca="1">MIN(INDIRECT(K28))</f>
        <v>0.9943171526696367</v>
      </c>
      <c r="L35" s="1">
        <f ca="1">MIN(INDIRECT(L28))</f>
        <v>0.8234742291703011</v>
      </c>
      <c r="M35" s="1">
        <f ca="1" t="shared" si="27"/>
        <v>1.0293837776852097</v>
      </c>
      <c r="N35" s="1">
        <f ca="1" t="shared" si="27"/>
        <v>0.9947569445876282</v>
      </c>
      <c r="O35" s="1">
        <f ca="1" t="shared" si="27"/>
        <v>0.8668778143374989</v>
      </c>
    </row>
    <row r="36" spans="6:15" ht="13.5">
      <c r="F36" s="1" t="s">
        <v>62</v>
      </c>
      <c r="G36" s="1">
        <f ca="1">AVERAGE(INDIRECT(G28))</f>
        <v>1.0620721730716116</v>
      </c>
      <c r="H36" s="1">
        <f ca="1">AVERAGE(INDIRECT(H28))</f>
        <v>0.999805534662786</v>
      </c>
      <c r="I36" s="1">
        <f ca="1">AVERAGE(INDIRECT(I28))</f>
        <v>0.9643094088727537</v>
      </c>
      <c r="J36" s="1">
        <f aca="true" ca="1" t="shared" si="28" ref="J36:O36">AVERAGE(INDIRECT(J28))</f>
        <v>1.0590380810974311</v>
      </c>
      <c r="K36" s="1">
        <f ca="1">AVERAGE(INDIRECT(K28))</f>
        <v>0.9997220181119092</v>
      </c>
      <c r="L36" s="1">
        <f ca="1">AVERAGE(INDIRECT(L28))</f>
        <v>0.9757996733567778</v>
      </c>
      <c r="M36" s="1">
        <f ca="1" t="shared" si="28"/>
        <v>1.0749963258236386</v>
      </c>
      <c r="N36" s="1">
        <f ca="1" t="shared" si="28"/>
        <v>0.9998893835519896</v>
      </c>
      <c r="O36" s="1">
        <f ca="1" t="shared" si="28"/>
        <v>0.982420600295685</v>
      </c>
    </row>
    <row r="37" spans="6:15" ht="13.5">
      <c r="F37" s="1" t="s">
        <v>63</v>
      </c>
      <c r="G37" s="1">
        <f aca="true" ca="1" t="shared" si="29" ref="G37:O37">IF(G$10="有","",AVERAGE(INDIRECT(G28)))</f>
        <v>1.0620721730716116</v>
      </c>
      <c r="H37" s="1">
        <f ca="1">IF(H$10="有","",AVERAGE(INDIRECT(H28)))</f>
        <v>0.999805534662786</v>
      </c>
      <c r="I37" s="1">
        <f ca="1">IF(I$10="有","",AVERAGE(INDIRECT(I28)))</f>
        <v>0.9643094088727537</v>
      </c>
      <c r="J37" s="1">
        <f ca="1" t="shared" si="29"/>
        <v>1.0590380810974311</v>
      </c>
      <c r="K37" s="1">
        <f ca="1">IF(K$10="有","",AVERAGE(INDIRECT(K28)))</f>
        <v>0.9997220181119092</v>
      </c>
      <c r="L37" s="1">
        <f ca="1">IF(L$10="有","",AVERAGE(INDIRECT(L28)))</f>
        <v>0.9757996733567778</v>
      </c>
      <c r="M37" s="1">
        <f ca="1" t="shared" si="29"/>
        <v>1.0749963258236386</v>
      </c>
      <c r="N37" s="1">
        <f ca="1" t="shared" si="29"/>
        <v>0.9998893835519896</v>
      </c>
      <c r="O37" s="1">
        <f ca="1" t="shared" si="29"/>
        <v>0.982420600295685</v>
      </c>
    </row>
    <row r="38" spans="6:15" ht="13.5">
      <c r="F38" s="1" t="s">
        <v>64</v>
      </c>
      <c r="G38" s="1">
        <f ca="1">STDEV(INDIRECT(G28))</f>
        <v>0.026452251639771242</v>
      </c>
      <c r="H38" s="1">
        <f ca="1">STDEV(INDIRECT(H28))</f>
        <v>0.007918954946647386</v>
      </c>
      <c r="I38" s="1">
        <f ca="1">STDEV(INDIRECT(I28))</f>
        <v>0.06819169800765017</v>
      </c>
      <c r="J38" s="1">
        <f aca="true" ca="1" t="shared" si="30" ref="J38:O38">STDEV(INDIRECT(J28))</f>
        <v>0.022831857917366142</v>
      </c>
      <c r="K38" s="1">
        <f ca="1">STDEV(INDIRECT(K28))</f>
        <v>0.007962161143602795</v>
      </c>
      <c r="L38" s="1">
        <f ca="1">STDEV(INDIRECT(L28))</f>
        <v>0.0661370548319906</v>
      </c>
      <c r="M38" s="1">
        <f ca="1" t="shared" si="30"/>
        <v>0.03944969239699821</v>
      </c>
      <c r="N38" s="1">
        <f ca="1" t="shared" si="30"/>
        <v>0.007855275684475586</v>
      </c>
      <c r="O38" s="1">
        <f ca="1" t="shared" si="30"/>
        <v>0.06520749284676303</v>
      </c>
    </row>
    <row r="39" spans="6:15" ht="13.5">
      <c r="F39" s="1" t="s">
        <v>65</v>
      </c>
      <c r="G39" s="1">
        <f>10^G36</f>
        <v>11.536449599626602</v>
      </c>
      <c r="H39" s="1">
        <f>10^H36</f>
        <v>9.995523272487898</v>
      </c>
      <c r="I39" s="1">
        <f>10^I36</f>
        <v>9.21105570735882</v>
      </c>
      <c r="J39" s="1">
        <f aca="true" t="shared" si="31" ref="J39:O39">10^J36</f>
        <v>11.456133901141685</v>
      </c>
      <c r="K39" s="1">
        <f>10^K36</f>
        <v>9.993601278539124</v>
      </c>
      <c r="L39" s="1">
        <f>10^L36</f>
        <v>9.458007920114467</v>
      </c>
      <c r="M39" s="1">
        <f t="shared" si="31"/>
        <v>11.88492172627437</v>
      </c>
      <c r="N39" s="1">
        <f t="shared" si="31"/>
        <v>9.997453286500267</v>
      </c>
      <c r="O39" s="1">
        <f t="shared" si="31"/>
        <v>9.603302303695683</v>
      </c>
    </row>
    <row r="40" spans="6:15" ht="13.5">
      <c r="F40" s="1" t="s">
        <v>66</v>
      </c>
      <c r="G40" s="1">
        <f>10^G38</f>
        <v>1.062801727474763</v>
      </c>
      <c r="H40" s="1">
        <f>10^H38</f>
        <v>1.0184013232601035</v>
      </c>
      <c r="I40" s="1">
        <f>10^I38</f>
        <v>1.170015723137429</v>
      </c>
      <c r="J40" s="1">
        <f aca="true" t="shared" si="32" ref="J40:O40">10^J38</f>
        <v>1.053978757441384</v>
      </c>
      <c r="K40" s="1">
        <f>10^K38</f>
        <v>1.0185026449181291</v>
      </c>
      <c r="L40" s="1">
        <f>10^L38</f>
        <v>1.164493462758046</v>
      </c>
      <c r="M40" s="1">
        <f t="shared" si="32"/>
        <v>1.0950896955264773</v>
      </c>
      <c r="N40" s="1">
        <f t="shared" si="32"/>
        <v>1.0182520091579448</v>
      </c>
      <c r="O40" s="1">
        <f t="shared" si="32"/>
        <v>1.1620036516497128</v>
      </c>
    </row>
    <row r="41" spans="6:15" ht="13.5">
      <c r="F41" s="1" t="s">
        <v>72</v>
      </c>
      <c r="G41" s="1">
        <f aca="true" t="shared" si="33" ref="G41:O41">IF(ISERROR(G37),"",G39)</f>
        <v>11.536449599626602</v>
      </c>
      <c r="H41" s="1">
        <f>IF(ISERROR(H37),"",H39)</f>
        <v>9.995523272487898</v>
      </c>
      <c r="I41" s="1">
        <f>IF(ISERROR(I37),"",I39)</f>
        <v>9.21105570735882</v>
      </c>
      <c r="J41" s="1">
        <f t="shared" si="33"/>
        <v>11.456133901141685</v>
      </c>
      <c r="K41" s="1">
        <f>IF(ISERROR(K37),"",K39)</f>
        <v>9.993601278539124</v>
      </c>
      <c r="L41" s="1">
        <f>IF(ISERROR(L37),"",L39)</f>
        <v>9.458007920114467</v>
      </c>
      <c r="M41" s="1">
        <f t="shared" si="33"/>
        <v>11.88492172627437</v>
      </c>
      <c r="N41" s="1">
        <f t="shared" si="33"/>
        <v>9.997453286500267</v>
      </c>
      <c r="O41" s="1">
        <f t="shared" si="33"/>
        <v>9.603302303695683</v>
      </c>
    </row>
    <row r="42" spans="3:15" ht="13.5">
      <c r="C42" s="1" t="s">
        <v>69</v>
      </c>
      <c r="D42" s="1" t="s">
        <v>71</v>
      </c>
      <c r="E42" s="1" t="s">
        <v>70</v>
      </c>
      <c r="F42" s="1" t="s">
        <v>68</v>
      </c>
      <c r="G42" s="1">
        <f>SLOPE($G37:$I37,$G$8:$I$8)</f>
        <v>-0.0005385198780728403</v>
      </c>
      <c r="H42" s="1">
        <f>INTERCEPT($G37:$I37,$G$8:$I$8)</f>
        <v>1.2016986618451517</v>
      </c>
      <c r="I42" s="1">
        <f>RSQ($G37:$I37,$G$8:$I$8)</f>
        <v>0.9996718590810414</v>
      </c>
      <c r="J42" s="1">
        <f>SLOPE($J37:$L37,$J$8:$L$8)</f>
        <v>-0.00046398600533555025</v>
      </c>
      <c r="K42" s="1">
        <f>INTERCEPT($J37:$L37,$J$8:$L$8)</f>
        <v>1.1777815761006116</v>
      </c>
      <c r="L42" s="1">
        <f>RSQ($J37:$L37,$J$8:$L$8)</f>
        <v>0.9896217894790068</v>
      </c>
      <c r="M42" s="1">
        <f>SLOPE($M37:$O37,$M$8:$O$8)</f>
        <v>-0.0005239707144049611</v>
      </c>
      <c r="N42" s="1">
        <f>INTERCEPT($M37:$O37,$M$8:$O$8)</f>
        <v>1.2068582758855488</v>
      </c>
      <c r="O42" s="1">
        <f>RSQ($M37:$O37,$M$8:$O$8)</f>
        <v>0.9580023410937831</v>
      </c>
    </row>
    <row r="43" spans="1:15" ht="13.5">
      <c r="A43" s="1">
        <v>11</v>
      </c>
      <c r="B43" s="1" t="s">
        <v>89</v>
      </c>
      <c r="C43" s="1">
        <v>11</v>
      </c>
      <c r="D43" s="1">
        <v>47</v>
      </c>
      <c r="E43" s="1" t="s">
        <v>45</v>
      </c>
      <c r="G43" s="1" t="str">
        <f>$E43&amp;"!"&amp;G$2&amp;$A43&amp;":"&amp;G$2&amp;$D43</f>
        <v>測定結果!F11:F47</v>
      </c>
      <c r="H43" s="1" t="str">
        <f>$E43&amp;"!"&amp;H$2&amp;$A43&amp;":"&amp;H$2&amp;$D43</f>
        <v>測定結果!I11:I47</v>
      </c>
      <c r="I43" s="1" t="str">
        <f>$E43&amp;"!"&amp;I$2&amp;$A43&amp;":"&amp;I$2&amp;$D43</f>
        <v>測定結果!L11:L47</v>
      </c>
      <c r="J43" s="1" t="str">
        <f aca="true" t="shared" si="34" ref="J43:O43">$E43&amp;"!"&amp;J$2&amp;$A43&amp;":"&amp;J$2&amp;$D43</f>
        <v>測定結果!G11:G47</v>
      </c>
      <c r="K43" s="1" t="str">
        <f>$E43&amp;"!"&amp;K$2&amp;$A43&amp;":"&amp;K$2&amp;$D43</f>
        <v>測定結果!J11:J47</v>
      </c>
      <c r="L43" s="1" t="str">
        <f>$E43&amp;"!"&amp;L$2&amp;$A43&amp;":"&amp;L$2&amp;$D43</f>
        <v>測定結果!M11:M47</v>
      </c>
      <c r="M43" s="1" t="str">
        <f t="shared" si="34"/>
        <v>測定結果!H11:H47</v>
      </c>
      <c r="N43" s="1" t="str">
        <f t="shared" si="34"/>
        <v>測定結果!K11:K47</v>
      </c>
      <c r="O43" s="1" t="str">
        <f t="shared" si="34"/>
        <v>測定結果!N11:N47</v>
      </c>
    </row>
    <row r="44" spans="5:15" ht="13.5">
      <c r="E44" s="1" t="s">
        <v>46</v>
      </c>
      <c r="G44" s="1" t="str">
        <f aca="true" t="shared" si="35" ref="G44:O44">$E44&amp;"!"&amp;G$4&amp;$A43&amp;":"&amp;G$4&amp;$D43</f>
        <v>LOG_Calc!F11:F47</v>
      </c>
      <c r="H44" s="1" t="str">
        <f>$E44&amp;"!"&amp;H$4&amp;$A43&amp;":"&amp;H$4&amp;$D43</f>
        <v>LOG_Calc!I11:I47</v>
      </c>
      <c r="I44" s="1" t="str">
        <f>$E44&amp;"!"&amp;I$4&amp;$A43&amp;":"&amp;I$4&amp;$D43</f>
        <v>LOG_Calc!L11:L47</v>
      </c>
      <c r="J44" s="1" t="str">
        <f t="shared" si="35"/>
        <v>LOG_Calc!G11:G47</v>
      </c>
      <c r="K44" s="1" t="str">
        <f>$E44&amp;"!"&amp;K$4&amp;$A43&amp;":"&amp;K$4&amp;$D43</f>
        <v>LOG_Calc!J11:J47</v>
      </c>
      <c r="L44" s="1" t="str">
        <f>$E44&amp;"!"&amp;L$4&amp;$A43&amp;":"&amp;L$4&amp;$D43</f>
        <v>LOG_Calc!M11:M47</v>
      </c>
      <c r="M44" s="1" t="str">
        <f t="shared" si="35"/>
        <v>LOG_Calc!H11:H47</v>
      </c>
      <c r="N44" s="1" t="str">
        <f t="shared" si="35"/>
        <v>LOG_Calc!K11:K47</v>
      </c>
      <c r="O44" s="1" t="str">
        <f t="shared" si="35"/>
        <v>LOG_Calc!N11:N47</v>
      </c>
    </row>
    <row r="45" spans="6:15" ht="13.5">
      <c r="F45" s="1" t="s">
        <v>55</v>
      </c>
      <c r="G45" s="1">
        <f aca="true" ca="1" t="shared" si="36" ref="G45:L45">MAX(INDIRECT(G43))</f>
        <v>13.1</v>
      </c>
      <c r="H45" s="1">
        <f ca="1" t="shared" si="36"/>
        <v>13.4</v>
      </c>
      <c r="I45" s="1">
        <f ca="1" t="shared" si="36"/>
        <v>12.4</v>
      </c>
      <c r="J45" s="1">
        <f ca="1" t="shared" si="36"/>
        <v>13</v>
      </c>
      <c r="K45" s="1">
        <f ca="1" t="shared" si="36"/>
        <v>13.4</v>
      </c>
      <c r="L45" s="1">
        <f ca="1" t="shared" si="36"/>
        <v>11.9</v>
      </c>
      <c r="M45" s="1">
        <f ca="1">MAX(INDIRECT(M43))</f>
        <v>15.2</v>
      </c>
      <c r="N45" s="1">
        <f ca="1">MAX(INDIRECT(N43))</f>
        <v>13.5</v>
      </c>
      <c r="O45" s="1">
        <f ca="1">MAX(INDIRECT(O43))</f>
        <v>12.1</v>
      </c>
    </row>
    <row r="46" spans="6:15" ht="13.5">
      <c r="F46" s="1" t="s">
        <v>56</v>
      </c>
      <c r="G46" s="1">
        <f aca="true" ca="1" t="shared" si="37" ref="G46:L46">MIN(INDIRECT(G43))</f>
        <v>7.8</v>
      </c>
      <c r="H46" s="1">
        <f ca="1" t="shared" si="37"/>
        <v>9.87</v>
      </c>
      <c r="I46" s="1">
        <f ca="1" t="shared" si="37"/>
        <v>5.14</v>
      </c>
      <c r="J46" s="1">
        <f ca="1" t="shared" si="37"/>
        <v>7.71</v>
      </c>
      <c r="K46" s="1">
        <f ca="1" t="shared" si="37"/>
        <v>9.87</v>
      </c>
      <c r="L46" s="1">
        <f ca="1" t="shared" si="37"/>
        <v>6.04</v>
      </c>
      <c r="M46" s="1">
        <f ca="1">MIN(INDIRECT(M43))</f>
        <v>7.97</v>
      </c>
      <c r="N46" s="1">
        <f ca="1">MIN(INDIRECT(N43))</f>
        <v>9.88</v>
      </c>
      <c r="O46" s="1">
        <f ca="1">MIN(INDIRECT(O43))</f>
        <v>6.04</v>
      </c>
    </row>
    <row r="47" spans="6:15" ht="13.5">
      <c r="F47" s="1" t="s">
        <v>57</v>
      </c>
      <c r="G47" s="1">
        <f aca="true" ca="1" t="shared" si="38" ref="G47:L47">AVERAGE(INDIRECT(G43))</f>
        <v>10.953513513513514</v>
      </c>
      <c r="H47" s="1">
        <f ca="1" t="shared" si="38"/>
        <v>10.492972972972975</v>
      </c>
      <c r="I47" s="1">
        <f ca="1" t="shared" si="38"/>
        <v>8.478378378378377</v>
      </c>
      <c r="J47" s="1">
        <f ca="1" t="shared" si="38"/>
        <v>10.884864864864866</v>
      </c>
      <c r="K47" s="1">
        <f ca="1" t="shared" si="38"/>
        <v>10.49189189189189</v>
      </c>
      <c r="L47" s="1">
        <f ca="1" t="shared" si="38"/>
        <v>8.75135135135135</v>
      </c>
      <c r="M47" s="1">
        <f ca="1">AVERAGE(INDIRECT(M43))</f>
        <v>11.585675675675674</v>
      </c>
      <c r="N47" s="1">
        <f ca="1">AVERAGE(INDIRECT(N43))</f>
        <v>10.510270270270272</v>
      </c>
      <c r="O47" s="1">
        <f ca="1">AVERAGE(INDIRECT(O43))</f>
        <v>8.884324324324327</v>
      </c>
    </row>
    <row r="48" spans="6:15" ht="13.5">
      <c r="F48" s="1" t="s">
        <v>58</v>
      </c>
      <c r="G48" s="1">
        <f aca="true" ca="1" t="shared" si="39" ref="G48:L48">IF(G$10="有",#N/A,AVERAGE(INDIRECT(G43)))</f>
        <v>10.953513513513514</v>
      </c>
      <c r="H48" s="1">
        <f ca="1" t="shared" si="39"/>
        <v>10.492972972972975</v>
      </c>
      <c r="I48" s="1">
        <f ca="1" t="shared" si="39"/>
        <v>8.478378378378377</v>
      </c>
      <c r="J48" s="1">
        <f ca="1" t="shared" si="39"/>
        <v>10.884864864864866</v>
      </c>
      <c r="K48" s="1">
        <f ca="1" t="shared" si="39"/>
        <v>10.49189189189189</v>
      </c>
      <c r="L48" s="1">
        <f ca="1" t="shared" si="39"/>
        <v>8.75135135135135</v>
      </c>
      <c r="M48" s="1">
        <f ca="1">IF(M$10="有",#N/A,AVERAGE(INDIRECT(M43)))</f>
        <v>11.585675675675674</v>
      </c>
      <c r="N48" s="1">
        <f ca="1">IF(N$10="有",#N/A,AVERAGE(INDIRECT(N43)))</f>
        <v>10.510270270270272</v>
      </c>
      <c r="O48" s="1">
        <f ca="1">IF(O$10="有",#N/A,AVERAGE(INDIRECT(O43)))</f>
        <v>8.884324324324327</v>
      </c>
    </row>
    <row r="49" spans="6:15" ht="13.5">
      <c r="F49" s="1" t="s">
        <v>59</v>
      </c>
      <c r="G49" s="1">
        <f aca="true" ca="1" t="shared" si="40" ref="G49:L49">STDEV(INDIRECT(G43))</f>
        <v>1.445501097690146</v>
      </c>
      <c r="H49" s="1">
        <f ca="1" t="shared" si="40"/>
        <v>0.909068096901863</v>
      </c>
      <c r="I49" s="1">
        <f ca="1" t="shared" si="40"/>
        <v>1.6577319068761152</v>
      </c>
      <c r="J49" s="1">
        <f ca="1" t="shared" si="40"/>
        <v>1.4218486042660827</v>
      </c>
      <c r="K49" s="1">
        <f ca="1" t="shared" si="40"/>
        <v>0.89345719861994</v>
      </c>
      <c r="L49" s="1">
        <f ca="1" t="shared" si="40"/>
        <v>1.6379240963321149</v>
      </c>
      <c r="M49" s="1">
        <f ca="1">STDEV(INDIRECT(M43))</f>
        <v>1.6222781316211905</v>
      </c>
      <c r="N49" s="1">
        <f ca="1">STDEV(INDIRECT(N43))</f>
        <v>0.9240264741471855</v>
      </c>
      <c r="O49" s="1">
        <f ca="1">STDEV(INDIRECT(O43))</f>
        <v>1.6969114763471063</v>
      </c>
    </row>
    <row r="50" spans="6:15" ht="13.5">
      <c r="F50" s="1" t="s">
        <v>60</v>
      </c>
      <c r="G50" s="1">
        <f aca="true" ca="1" t="shared" si="41" ref="G50:L50">MAX(INDIRECT(G44))</f>
        <v>1.1172712956557642</v>
      </c>
      <c r="H50" s="1">
        <f ca="1" t="shared" si="41"/>
        <v>1.1271047983648077</v>
      </c>
      <c r="I50" s="1">
        <f ca="1" t="shared" si="41"/>
        <v>1.0934216851622351</v>
      </c>
      <c r="J50" s="1">
        <f ca="1" t="shared" si="41"/>
        <v>1.1139433523068367</v>
      </c>
      <c r="K50" s="1">
        <f ca="1" t="shared" si="41"/>
        <v>1.1271047983648077</v>
      </c>
      <c r="L50" s="1">
        <f ca="1" t="shared" si="41"/>
        <v>1.0755469613925308</v>
      </c>
      <c r="M50" s="1">
        <f ca="1">MAX(INDIRECT(M44))</f>
        <v>1.1818435879447726</v>
      </c>
      <c r="N50" s="1">
        <f ca="1">MAX(INDIRECT(N44))</f>
        <v>1.130333768495006</v>
      </c>
      <c r="O50" s="1">
        <f ca="1">MAX(INDIRECT(O44))</f>
        <v>1.08278537031645</v>
      </c>
    </row>
    <row r="51" spans="6:15" ht="13.5">
      <c r="F51" s="1" t="s">
        <v>61</v>
      </c>
      <c r="G51" s="1">
        <f aca="true" ca="1" t="shared" si="42" ref="G51:L51">MIN(INDIRECT(G44))</f>
        <v>0.8920946026904804</v>
      </c>
      <c r="H51" s="1">
        <f ca="1" t="shared" si="42"/>
        <v>0.9943171526696367</v>
      </c>
      <c r="I51" s="1">
        <f ca="1" t="shared" si="42"/>
        <v>0.7109631189952758</v>
      </c>
      <c r="J51" s="1">
        <f ca="1" t="shared" si="42"/>
        <v>0.887054378050957</v>
      </c>
      <c r="K51" s="1">
        <f ca="1" t="shared" si="42"/>
        <v>0.9943171526696367</v>
      </c>
      <c r="L51" s="1">
        <f ca="1" t="shared" si="42"/>
        <v>0.7810369386211319</v>
      </c>
      <c r="M51" s="1">
        <f ca="1">MIN(INDIRECT(M44))</f>
        <v>0.9014583213961124</v>
      </c>
      <c r="N51" s="1">
        <f ca="1">MIN(INDIRECT(N44))</f>
        <v>0.9947569445876282</v>
      </c>
      <c r="O51" s="1">
        <f ca="1">MIN(INDIRECT(O44))</f>
        <v>0.7810369386211319</v>
      </c>
    </row>
    <row r="52" spans="6:15" ht="13.5">
      <c r="F52" s="1" t="s">
        <v>62</v>
      </c>
      <c r="G52" s="1">
        <f aca="true" ca="1" t="shared" si="43" ref="G52:L52">AVERAGE(INDIRECT(G44))</f>
        <v>1.0354636984894212</v>
      </c>
      <c r="H52" s="1">
        <f ca="1" t="shared" si="43"/>
        <v>1.0194608722815202</v>
      </c>
      <c r="I52" s="1">
        <f ca="1" t="shared" si="43"/>
        <v>0.9201691935169722</v>
      </c>
      <c r="J52" s="1">
        <f ca="1" t="shared" si="43"/>
        <v>1.0327726955363634</v>
      </c>
      <c r="K52" s="1">
        <f ca="1" t="shared" si="43"/>
        <v>1.019458933209115</v>
      </c>
      <c r="L52" s="1">
        <f ca="1" t="shared" si="43"/>
        <v>0.9345486022804214</v>
      </c>
      <c r="M52" s="1">
        <f ca="1">AVERAGE(INDIRECT(M44))</f>
        <v>1.0595916953400408</v>
      </c>
      <c r="N52" s="1">
        <f ca="1">AVERAGE(INDIRECT(N44))</f>
        <v>1.0201316676341452</v>
      </c>
      <c r="O52" s="1">
        <f ca="1">AVERAGE(INDIRECT(O44))</f>
        <v>0.9408174770759749</v>
      </c>
    </row>
    <row r="53" spans="6:15" ht="13.5">
      <c r="F53" s="1" t="s">
        <v>63</v>
      </c>
      <c r="G53" s="1">
        <f aca="true" ca="1" t="shared" si="44" ref="G53:O53">IF(G$10="有","",AVERAGE(INDIRECT(G44)))</f>
        <v>1.0354636984894212</v>
      </c>
      <c r="H53" s="1">
        <f ca="1" t="shared" si="44"/>
        <v>1.0194608722815202</v>
      </c>
      <c r="I53" s="1">
        <f ca="1" t="shared" si="44"/>
        <v>0.9201691935169722</v>
      </c>
      <c r="J53" s="1">
        <f ca="1" t="shared" si="44"/>
        <v>1.0327726955363634</v>
      </c>
      <c r="K53" s="1">
        <f ca="1" t="shared" si="44"/>
        <v>1.019458933209115</v>
      </c>
      <c r="L53" s="1">
        <f ca="1" t="shared" si="44"/>
        <v>0.9345486022804214</v>
      </c>
      <c r="M53" s="1">
        <f ca="1" t="shared" si="44"/>
        <v>1.0595916953400408</v>
      </c>
      <c r="N53" s="1">
        <f ca="1" t="shared" si="44"/>
        <v>1.0201316676341452</v>
      </c>
      <c r="O53" s="1">
        <f ca="1" t="shared" si="44"/>
        <v>0.9408174770759749</v>
      </c>
    </row>
    <row r="54" spans="6:15" ht="13.5">
      <c r="F54" s="1" t="s">
        <v>64</v>
      </c>
      <c r="G54" s="1">
        <f aca="true" ca="1" t="shared" si="45" ref="G54:L54">STDEV(INDIRECT(G44))</f>
        <v>0.06212172765687269</v>
      </c>
      <c r="H54" s="1">
        <f ca="1" t="shared" si="45"/>
        <v>0.03496878225219847</v>
      </c>
      <c r="I54" s="1">
        <f ca="1" t="shared" si="45"/>
        <v>0.08567777854813735</v>
      </c>
      <c r="J54" s="1">
        <f ca="1" t="shared" si="45"/>
        <v>0.061974920181647825</v>
      </c>
      <c r="K54" s="1">
        <f ca="1" t="shared" si="45"/>
        <v>0.034480455784516965</v>
      </c>
      <c r="L54" s="1">
        <f ca="1" t="shared" si="45"/>
        <v>0.08239906697210722</v>
      </c>
      <c r="M54" s="1">
        <f ca="1">STDEV(INDIRECT(M44))</f>
        <v>0.06305514353620686</v>
      </c>
      <c r="N54" s="1">
        <f ca="1">STDEV(INDIRECT(N44))</f>
        <v>0.03551615351202531</v>
      </c>
      <c r="O54" s="1">
        <f ca="1">STDEV(INDIRECT(O44))</f>
        <v>0.08383475409231389</v>
      </c>
    </row>
    <row r="55" spans="6:15" ht="13.5">
      <c r="F55" s="1" t="s">
        <v>65</v>
      </c>
      <c r="G55" s="1">
        <f aca="true" t="shared" si="46" ref="G55:L55">10^G52</f>
        <v>10.850848465108596</v>
      </c>
      <c r="H55" s="1">
        <f t="shared" si="46"/>
        <v>10.458294623163162</v>
      </c>
      <c r="I55" s="1">
        <f t="shared" si="46"/>
        <v>8.320878748155467</v>
      </c>
      <c r="J55" s="1">
        <f t="shared" si="46"/>
        <v>10.783821623583151</v>
      </c>
      <c r="K55" s="1">
        <f t="shared" si="46"/>
        <v>10.45824792824513</v>
      </c>
      <c r="L55" s="1">
        <f t="shared" si="46"/>
        <v>8.600993159799245</v>
      </c>
      <c r="M55" s="1">
        <f>10^M52</f>
        <v>11.470746849880973</v>
      </c>
      <c r="N55" s="1">
        <f>10^N52</f>
        <v>10.474460603525849</v>
      </c>
      <c r="O55" s="1">
        <f>10^O52</f>
        <v>8.726045578128632</v>
      </c>
    </row>
    <row r="56" spans="6:15" ht="13.5">
      <c r="F56" s="1" t="s">
        <v>66</v>
      </c>
      <c r="G56" s="1">
        <f aca="true" t="shared" si="47" ref="G56:L56">10^G54</f>
        <v>1.1537766025729101</v>
      </c>
      <c r="H56" s="1">
        <f t="shared" si="47"/>
        <v>1.083849002506502</v>
      </c>
      <c r="I56" s="1">
        <f t="shared" si="47"/>
        <v>1.218085514394656</v>
      </c>
      <c r="J56" s="1">
        <f t="shared" si="47"/>
        <v>1.1533866496459466</v>
      </c>
      <c r="K56" s="1">
        <f t="shared" si="47"/>
        <v>1.0826309932337133</v>
      </c>
      <c r="L56" s="1">
        <f t="shared" si="47"/>
        <v>1.208924187986657</v>
      </c>
      <c r="M56" s="1">
        <f>10^M54</f>
        <v>1.156259046186861</v>
      </c>
      <c r="N56" s="1">
        <f>10^N54</f>
        <v>1.0852159133100239</v>
      </c>
      <c r="O56" s="1">
        <f>10^O54</f>
        <v>1.212927252610692</v>
      </c>
    </row>
    <row r="57" spans="6:15" ht="13.5">
      <c r="F57" s="1" t="s">
        <v>72</v>
      </c>
      <c r="G57" s="1">
        <f aca="true" t="shared" si="48" ref="G57:O57">IF(ISERROR(G53),"",G55)</f>
        <v>10.850848465108596</v>
      </c>
      <c r="H57" s="1">
        <f t="shared" si="48"/>
        <v>10.458294623163162</v>
      </c>
      <c r="I57" s="1">
        <f t="shared" si="48"/>
        <v>8.320878748155467</v>
      </c>
      <c r="J57" s="1">
        <f t="shared" si="48"/>
        <v>10.783821623583151</v>
      </c>
      <c r="K57" s="1">
        <f t="shared" si="48"/>
        <v>10.45824792824513</v>
      </c>
      <c r="L57" s="1">
        <f t="shared" si="48"/>
        <v>8.600993159799245</v>
      </c>
      <c r="M57" s="1">
        <f t="shared" si="48"/>
        <v>11.470746849880973</v>
      </c>
      <c r="N57" s="1">
        <f t="shared" si="48"/>
        <v>10.474460603525849</v>
      </c>
      <c r="O57" s="1">
        <f t="shared" si="48"/>
        <v>8.726045578128632</v>
      </c>
    </row>
    <row r="58" spans="3:15" ht="13.5">
      <c r="C58" s="1" t="s">
        <v>69</v>
      </c>
      <c r="D58" s="1" t="s">
        <v>71</v>
      </c>
      <c r="E58" s="1" t="s">
        <v>70</v>
      </c>
      <c r="F58" s="1" t="s">
        <v>68</v>
      </c>
      <c r="G58" s="1">
        <f>SLOPE($G53:$I53,$G$8:$I$8)</f>
        <v>-0.0005852064022827878</v>
      </c>
      <c r="H58" s="1">
        <f>INTERCEPT($G53:$I53,$G$8:$I$8)</f>
        <v>1.2013968822473036</v>
      </c>
      <c r="I58" s="1">
        <f>RSQ($G53:$I53,$G$8:$I$8)</f>
        <v>0.7410921249141936</v>
      </c>
      <c r="J58" s="1">
        <f>SLOPE($J53:$L53,$J$8:$L$8)</f>
        <v>-0.0004982835106732022</v>
      </c>
      <c r="K58" s="1">
        <f>INTERCEPT($J53:$L53,$J$8:$L$8)</f>
        <v>1.1741450016665307</v>
      </c>
      <c r="L58" s="1">
        <f>RSQ($J53:$L53,$J$8:$L$8)</f>
        <v>0.7382863114641582</v>
      </c>
      <c r="M58" s="1">
        <f>SLOPE($M53:$O53,$M$8:$O$8)</f>
        <v>-0.0006228248510155163</v>
      </c>
      <c r="N58" s="1">
        <f>INTERCEPT($M53:$O53,$M$8:$O$8)</f>
        <v>1.2300258516306135</v>
      </c>
      <c r="O58" s="1">
        <f>RSQ($M53:$O53,$M$8:$O$8)</f>
        <v>0.8949715136778376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26"/>
  <sheetViews>
    <sheetView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1" sqref="G11"/>
    </sheetView>
  </sheetViews>
  <sheetFormatPr defaultColWidth="9.00390625" defaultRowHeight="14.25"/>
  <cols>
    <col min="1" max="3" width="4.625" style="11" customWidth="1"/>
    <col min="4" max="43" width="9.00390625" style="11" customWidth="1"/>
    <col min="44" max="45" width="11.625" style="11" bestFit="1" customWidth="1"/>
    <col min="46" max="16384" width="9.00390625" style="11" customWidth="1"/>
  </cols>
  <sheetData>
    <row r="1" spans="4:33" ht="12.75">
      <c r="D1" s="15" t="s">
        <v>75</v>
      </c>
      <c r="E1" s="11">
        <v>7</v>
      </c>
      <c r="G1" s="11">
        <v>7</v>
      </c>
      <c r="H1" s="11">
        <v>10</v>
      </c>
      <c r="I1" s="11">
        <v>13</v>
      </c>
      <c r="J1" s="11">
        <v>7</v>
      </c>
      <c r="K1" s="11">
        <v>10</v>
      </c>
      <c r="L1" s="11">
        <v>13</v>
      </c>
      <c r="M1" s="11">
        <v>7</v>
      </c>
      <c r="N1" s="11">
        <v>10</v>
      </c>
      <c r="O1" s="11">
        <v>13</v>
      </c>
      <c r="P1" s="11">
        <v>6</v>
      </c>
      <c r="Q1" s="11">
        <v>7</v>
      </c>
      <c r="R1" s="11">
        <v>8</v>
      </c>
      <c r="S1" s="11">
        <v>6</v>
      </c>
      <c r="T1" s="11">
        <v>7</v>
      </c>
      <c r="U1" s="11">
        <v>8</v>
      </c>
      <c r="V1" s="11">
        <v>7</v>
      </c>
      <c r="W1" s="11">
        <v>10</v>
      </c>
      <c r="X1" s="11">
        <v>13</v>
      </c>
      <c r="Y1" s="11">
        <v>7</v>
      </c>
      <c r="Z1" s="11">
        <v>10</v>
      </c>
      <c r="AA1" s="11">
        <v>13</v>
      </c>
      <c r="AB1" s="11">
        <v>7</v>
      </c>
      <c r="AC1" s="11">
        <v>10</v>
      </c>
      <c r="AD1" s="11">
        <v>13</v>
      </c>
      <c r="AE1" s="11">
        <v>7</v>
      </c>
      <c r="AF1" s="11">
        <v>10</v>
      </c>
      <c r="AG1" s="11">
        <v>13</v>
      </c>
    </row>
    <row r="2" spans="4:33" ht="12.75">
      <c r="D2" s="15" t="s">
        <v>76</v>
      </c>
      <c r="G2" s="11">
        <v>10</v>
      </c>
      <c r="H2" s="11">
        <v>10</v>
      </c>
      <c r="I2" s="11">
        <v>10</v>
      </c>
      <c r="J2" s="11">
        <v>26</v>
      </c>
      <c r="K2" s="11">
        <v>26</v>
      </c>
      <c r="L2" s="11">
        <v>26</v>
      </c>
      <c r="M2" s="11">
        <v>42</v>
      </c>
      <c r="N2" s="11">
        <v>42</v>
      </c>
      <c r="O2" s="11">
        <v>42</v>
      </c>
      <c r="P2" s="11">
        <v>9</v>
      </c>
      <c r="Q2" s="11">
        <v>10</v>
      </c>
      <c r="R2" s="11">
        <v>11</v>
      </c>
      <c r="S2" s="11">
        <v>9</v>
      </c>
      <c r="T2" s="11">
        <v>10</v>
      </c>
      <c r="U2" s="11">
        <v>11</v>
      </c>
      <c r="V2" s="11">
        <v>42</v>
      </c>
      <c r="W2" s="11">
        <v>42</v>
      </c>
      <c r="X2" s="11">
        <v>42</v>
      </c>
      <c r="Y2" s="11">
        <f aca="true" t="shared" si="0" ref="Y2:AG2">G2</f>
        <v>10</v>
      </c>
      <c r="Z2" s="11">
        <f t="shared" si="0"/>
        <v>10</v>
      </c>
      <c r="AA2" s="11">
        <f t="shared" si="0"/>
        <v>10</v>
      </c>
      <c r="AB2" s="11">
        <f t="shared" si="0"/>
        <v>26</v>
      </c>
      <c r="AC2" s="11">
        <f t="shared" si="0"/>
        <v>26</v>
      </c>
      <c r="AD2" s="11">
        <f t="shared" si="0"/>
        <v>26</v>
      </c>
      <c r="AE2" s="11">
        <f t="shared" si="0"/>
        <v>42</v>
      </c>
      <c r="AF2" s="11">
        <f t="shared" si="0"/>
        <v>42</v>
      </c>
      <c r="AG2" s="11">
        <f t="shared" si="0"/>
        <v>42</v>
      </c>
    </row>
    <row r="3" spans="7:33" ht="12.75">
      <c r="G3" s="11">
        <v>10</v>
      </c>
      <c r="H3" s="11">
        <v>10</v>
      </c>
      <c r="I3" s="11">
        <v>10</v>
      </c>
      <c r="J3" s="11">
        <v>10</v>
      </c>
      <c r="K3" s="11">
        <v>10</v>
      </c>
      <c r="L3" s="11">
        <v>10</v>
      </c>
      <c r="M3" s="11">
        <v>10</v>
      </c>
      <c r="N3" s="11">
        <v>10</v>
      </c>
      <c r="O3" s="11">
        <v>10</v>
      </c>
      <c r="P3" s="11">
        <v>12</v>
      </c>
      <c r="Q3" s="11">
        <v>13</v>
      </c>
      <c r="R3" s="11">
        <v>14</v>
      </c>
      <c r="S3" s="11">
        <v>12</v>
      </c>
      <c r="T3" s="11">
        <v>13</v>
      </c>
      <c r="U3" s="11">
        <v>14</v>
      </c>
      <c r="V3" s="11">
        <v>10</v>
      </c>
      <c r="W3" s="11">
        <v>10</v>
      </c>
      <c r="X3" s="11">
        <v>10</v>
      </c>
      <c r="Y3" s="11">
        <f>Y2+16</f>
        <v>26</v>
      </c>
      <c r="Z3" s="11">
        <f aca="true" t="shared" si="1" ref="Z3:AG3">Z2+16</f>
        <v>26</v>
      </c>
      <c r="AA3" s="11">
        <f t="shared" si="1"/>
        <v>26</v>
      </c>
      <c r="AB3" s="11">
        <f t="shared" si="1"/>
        <v>42</v>
      </c>
      <c r="AC3" s="11">
        <f t="shared" si="1"/>
        <v>42</v>
      </c>
      <c r="AD3" s="11">
        <f t="shared" si="1"/>
        <v>42</v>
      </c>
      <c r="AE3" s="11">
        <f t="shared" si="1"/>
        <v>58</v>
      </c>
      <c r="AF3" s="11">
        <f t="shared" si="1"/>
        <v>58</v>
      </c>
      <c r="AG3" s="11">
        <f t="shared" si="1"/>
        <v>58</v>
      </c>
    </row>
    <row r="4" spans="12:33" ht="14.25">
      <c r="L4" s="16"/>
      <c r="O4" s="16"/>
      <c r="X4" s="16" t="s">
        <v>77</v>
      </c>
      <c r="Y4" s="11">
        <f>INDEX(Ave_Calc!$A:$XFD,Y$3,Y$1)</f>
        <v>-0.0006464824653083444</v>
      </c>
      <c r="Z4" s="11">
        <f>INDEX(Ave_Calc!$A:$XFD,Z$3,Z$1)</f>
        <v>-0.0005432989864288682</v>
      </c>
      <c r="AA4" s="11">
        <f>INDEX(Ave_Calc!$A:$XFD,AA$3,AA$1)</f>
        <v>-0.0007525709053168713</v>
      </c>
      <c r="AB4" s="11">
        <f>INDEX(Ave_Calc!$A:$XFD,AB$3,AB$1)</f>
        <v>-0.0005385198780728403</v>
      </c>
      <c r="AC4" s="11">
        <f>INDEX(Ave_Calc!$A:$XFD,AC$3,AC$1)</f>
        <v>-0.00046398600533555025</v>
      </c>
      <c r="AD4" s="11">
        <f>INDEX(Ave_Calc!$A:$XFD,AD$3,AD$1)</f>
        <v>-0.0005239707144049611</v>
      </c>
      <c r="AE4" s="11">
        <f>INDEX(Ave_Calc!$A:$XFD,AE$3,AE$1)</f>
        <v>-0.0005852064022827878</v>
      </c>
      <c r="AF4" s="11">
        <f>INDEX(Ave_Calc!$A:$XFD,AF$3,AF$1)</f>
        <v>-0.0004982835106732022</v>
      </c>
      <c r="AG4" s="11">
        <f>INDEX(Ave_Calc!$A:$XFD,AG$3,AG$1)</f>
        <v>-0.0006228248510155163</v>
      </c>
    </row>
    <row r="5" spans="12:33" ht="14.25">
      <c r="L5" s="16"/>
      <c r="O5" s="16"/>
      <c r="X5" s="16" t="s">
        <v>78</v>
      </c>
      <c r="Y5" s="11">
        <f>INDEX(Ave_Calc!$A:$XFD,Y$3,Y$1+1)</f>
        <v>1.2010007965251281</v>
      </c>
      <c r="Z5" s="11">
        <f>INDEX(Ave_Calc!$A:$XFD,Z$3,Z$1+1)</f>
        <v>1.169371997721799</v>
      </c>
      <c r="AA5" s="11">
        <f>INDEX(Ave_Calc!$A:$XFD,AA$3,AA$1+1)</f>
        <v>1.260433294796012</v>
      </c>
      <c r="AB5" s="11">
        <f>INDEX(Ave_Calc!$A:$XFD,AB$3,AB$1+1)</f>
        <v>1.2016986618451517</v>
      </c>
      <c r="AC5" s="11">
        <f>INDEX(Ave_Calc!$A:$XFD,AC$3,AC$1+1)</f>
        <v>1.1777815761006116</v>
      </c>
      <c r="AD5" s="11">
        <f>INDEX(Ave_Calc!$A:$XFD,AD$3,AD$1+1)</f>
        <v>1.2068582758855488</v>
      </c>
      <c r="AE5" s="11">
        <f>INDEX(Ave_Calc!$A:$XFD,AE$3,AE$1+1)</f>
        <v>1.2013968822473036</v>
      </c>
      <c r="AF5" s="11">
        <f>INDEX(Ave_Calc!$A:$XFD,AF$3,AF$1+1)</f>
        <v>1.1741450016665307</v>
      </c>
      <c r="AG5" s="11">
        <f>INDEX(Ave_Calc!$A:$XFD,AG$3,AG$1+1)</f>
        <v>1.2300258516306135</v>
      </c>
    </row>
    <row r="6" spans="12:33" ht="14.25">
      <c r="L6" s="17"/>
      <c r="O6" s="17"/>
      <c r="X6" s="17" t="s">
        <v>79</v>
      </c>
      <c r="Y6" s="11">
        <f>INDEX(Ave_Calc!$A:$XFD,Y$3,Y$1+2)</f>
        <v>0.3875534210333453</v>
      </c>
      <c r="Z6" s="11">
        <f>INDEX(Ave_Calc!$A:$XFD,Z$3,Z$1+2)</f>
        <v>0.34510962321327093</v>
      </c>
      <c r="AA6" s="11">
        <f>INDEX(Ave_Calc!$A:$XFD,AA$3,AA$1+2)</f>
        <v>0.5823025098487044</v>
      </c>
      <c r="AB6" s="11">
        <f>INDEX(Ave_Calc!$A:$XFD,AB$3,AB$1+2)</f>
        <v>0.9996718590810414</v>
      </c>
      <c r="AC6" s="11">
        <f>INDEX(Ave_Calc!$A:$XFD,AC$3,AC$1+2)</f>
        <v>0.9896217894790068</v>
      </c>
      <c r="AD6" s="11">
        <f>INDEX(Ave_Calc!$A:$XFD,AD$3,AD$1+2)</f>
        <v>0.9580023410937831</v>
      </c>
      <c r="AE6" s="11">
        <f>INDEX(Ave_Calc!$A:$XFD,AE$3,AE$1+2)</f>
        <v>0.7410921249141936</v>
      </c>
      <c r="AF6" s="11">
        <f>INDEX(Ave_Calc!$A:$XFD,AF$3,AF$1+2)</f>
        <v>0.7382863114641582</v>
      </c>
      <c r="AG6" s="11">
        <f>INDEX(Ave_Calc!$A:$XFD,AG$3,AG$1+2)</f>
        <v>0.8949715136778376</v>
      </c>
    </row>
    <row r="7" spans="7:45" ht="12.75">
      <c r="G7" s="11" t="str">
        <f>G8&amp;"_"&amp;G9</f>
        <v>１階_1cm</v>
      </c>
      <c r="H7" s="11" t="str">
        <f aca="true" t="shared" si="2" ref="H7:O7">H8&amp;"_"&amp;H9</f>
        <v>１階_1m</v>
      </c>
      <c r="I7" s="11" t="str">
        <f t="shared" si="2"/>
        <v>１階_2m</v>
      </c>
      <c r="J7" s="11" t="str">
        <f t="shared" si="2"/>
        <v>２階_1cm</v>
      </c>
      <c r="K7" s="11" t="str">
        <f t="shared" si="2"/>
        <v>２階_1m</v>
      </c>
      <c r="L7" s="11" t="str">
        <f t="shared" si="2"/>
        <v>２階_2m</v>
      </c>
      <c r="M7" s="11" t="str">
        <f t="shared" si="2"/>
        <v>全階_1cm</v>
      </c>
      <c r="N7" s="11" t="str">
        <f t="shared" si="2"/>
        <v>全階_1m</v>
      </c>
      <c r="O7" s="11" t="str">
        <f t="shared" si="2"/>
        <v>全階_2m</v>
      </c>
      <c r="P7" s="11" t="str">
        <f>P8&amp;"_"&amp;P9</f>
        <v>１階_1cm</v>
      </c>
      <c r="Q7" s="11" t="str">
        <f aca="true" t="shared" si="3" ref="Q7:X7">Q8&amp;"_"&amp;Q9</f>
        <v>１階_1m</v>
      </c>
      <c r="R7" s="11" t="str">
        <f t="shared" si="3"/>
        <v>１階_2m</v>
      </c>
      <c r="S7" s="11" t="str">
        <f t="shared" si="3"/>
        <v>２階_1cm</v>
      </c>
      <c r="T7" s="11" t="str">
        <f t="shared" si="3"/>
        <v>２階_1m</v>
      </c>
      <c r="U7" s="11" t="str">
        <f t="shared" si="3"/>
        <v>２階_2m</v>
      </c>
      <c r="V7" s="11" t="str">
        <f t="shared" si="3"/>
        <v>全階_1cm</v>
      </c>
      <c r="W7" s="11" t="str">
        <f t="shared" si="3"/>
        <v>全階_1m</v>
      </c>
      <c r="X7" s="11" t="str">
        <f t="shared" si="3"/>
        <v>全階_2m</v>
      </c>
      <c r="Y7" s="11" t="str">
        <f>Y8&amp;"_"&amp;Y9&amp;"近似直線"</f>
        <v>１階_1cm近似直線</v>
      </c>
      <c r="Z7" s="11" t="str">
        <f aca="true" t="shared" si="4" ref="Z7:AG7">Z8&amp;"_"&amp;Z9&amp;"近似直線"</f>
        <v>１階_1m近似直線</v>
      </c>
      <c r="AA7" s="11" t="str">
        <f t="shared" si="4"/>
        <v>１階_2m近似直線</v>
      </c>
      <c r="AB7" s="11" t="str">
        <f t="shared" si="4"/>
        <v>２階_1cm近似直線</v>
      </c>
      <c r="AC7" s="11" t="str">
        <f t="shared" si="4"/>
        <v>２階_1m近似直線</v>
      </c>
      <c r="AD7" s="11" t="str">
        <f t="shared" si="4"/>
        <v>２階_2m近似直線</v>
      </c>
      <c r="AE7" s="11" t="str">
        <f t="shared" si="4"/>
        <v>全階_1cm近似直線</v>
      </c>
      <c r="AF7" s="11" t="str">
        <f t="shared" si="4"/>
        <v>全階_1m近似直線</v>
      </c>
      <c r="AG7" s="11" t="str">
        <f t="shared" si="4"/>
        <v>全階_2m近似直線</v>
      </c>
      <c r="AH7" s="12" t="s">
        <v>80</v>
      </c>
      <c r="AI7" s="12" t="s">
        <v>81</v>
      </c>
      <c r="AJ7" s="12" t="s">
        <v>82</v>
      </c>
      <c r="AK7" s="11" t="str">
        <f>AK9&amp;"事故前BG"</f>
        <v>0.05事故前BG</v>
      </c>
      <c r="AL7" s="11" t="s">
        <v>124</v>
      </c>
      <c r="AM7" s="11" t="s">
        <v>123</v>
      </c>
      <c r="AN7" s="11" t="s">
        <v>122</v>
      </c>
      <c r="AO7" s="11" t="s">
        <v>127</v>
      </c>
      <c r="AP7" s="11" t="s">
        <v>126</v>
      </c>
      <c r="AQ7" s="11" t="s">
        <v>125</v>
      </c>
      <c r="AR7" s="11" t="s">
        <v>132</v>
      </c>
      <c r="AS7" s="11" t="s">
        <v>133</v>
      </c>
    </row>
    <row r="8" spans="7:45" ht="12.75">
      <c r="G8" s="12" t="s">
        <v>43</v>
      </c>
      <c r="H8" s="12" t="s">
        <v>43</v>
      </c>
      <c r="I8" s="12" t="s">
        <v>43</v>
      </c>
      <c r="J8" s="12" t="s">
        <v>44</v>
      </c>
      <c r="K8" s="12" t="s">
        <v>44</v>
      </c>
      <c r="L8" s="12" t="s">
        <v>44</v>
      </c>
      <c r="M8" s="12" t="s">
        <v>89</v>
      </c>
      <c r="N8" s="12" t="s">
        <v>89</v>
      </c>
      <c r="O8" s="12" t="s">
        <v>89</v>
      </c>
      <c r="P8" s="12" t="s">
        <v>43</v>
      </c>
      <c r="Q8" s="12" t="s">
        <v>43</v>
      </c>
      <c r="R8" s="12" t="s">
        <v>43</v>
      </c>
      <c r="S8" s="12" t="s">
        <v>44</v>
      </c>
      <c r="T8" s="12" t="s">
        <v>44</v>
      </c>
      <c r="U8" s="12" t="s">
        <v>44</v>
      </c>
      <c r="V8" s="12" t="s">
        <v>89</v>
      </c>
      <c r="W8" s="12" t="s">
        <v>89</v>
      </c>
      <c r="X8" s="12" t="s">
        <v>89</v>
      </c>
      <c r="Y8" s="12" t="s">
        <v>43</v>
      </c>
      <c r="Z8" s="12" t="s">
        <v>43</v>
      </c>
      <c r="AA8" s="12" t="s">
        <v>43</v>
      </c>
      <c r="AB8" s="12" t="s">
        <v>44</v>
      </c>
      <c r="AC8" s="12" t="s">
        <v>44</v>
      </c>
      <c r="AD8" s="12" t="s">
        <v>44</v>
      </c>
      <c r="AE8" s="12" t="s">
        <v>89</v>
      </c>
      <c r="AF8" s="12" t="s">
        <v>89</v>
      </c>
      <c r="AG8" s="12" t="s">
        <v>89</v>
      </c>
      <c r="AR8" s="68">
        <v>11019</v>
      </c>
      <c r="AS8" s="227">
        <v>8.0207</v>
      </c>
    </row>
    <row r="9" spans="7:45" ht="12.75">
      <c r="G9" s="11" t="s">
        <v>86</v>
      </c>
      <c r="H9" s="11" t="s">
        <v>87</v>
      </c>
      <c r="I9" s="11" t="s">
        <v>88</v>
      </c>
      <c r="J9" s="11" t="s">
        <v>86</v>
      </c>
      <c r="K9" s="11" t="s">
        <v>87</v>
      </c>
      <c r="L9" s="11" t="s">
        <v>88</v>
      </c>
      <c r="M9" s="11" t="s">
        <v>86</v>
      </c>
      <c r="N9" s="11" t="s">
        <v>87</v>
      </c>
      <c r="O9" s="11" t="s">
        <v>88</v>
      </c>
      <c r="P9" s="11" t="s">
        <v>86</v>
      </c>
      <c r="Q9" s="11" t="s">
        <v>87</v>
      </c>
      <c r="R9" s="11" t="s">
        <v>88</v>
      </c>
      <c r="S9" s="11" t="s">
        <v>86</v>
      </c>
      <c r="T9" s="11" t="s">
        <v>87</v>
      </c>
      <c r="U9" s="11" t="s">
        <v>88</v>
      </c>
      <c r="V9" s="11" t="s">
        <v>86</v>
      </c>
      <c r="W9" s="11" t="s">
        <v>87</v>
      </c>
      <c r="X9" s="11" t="s">
        <v>88</v>
      </c>
      <c r="Y9" s="11" t="s">
        <v>86</v>
      </c>
      <c r="Z9" s="11" t="s">
        <v>87</v>
      </c>
      <c r="AA9" s="11" t="s">
        <v>88</v>
      </c>
      <c r="AB9" s="11" t="s">
        <v>86</v>
      </c>
      <c r="AC9" s="11" t="s">
        <v>87</v>
      </c>
      <c r="AD9" s="11" t="s">
        <v>88</v>
      </c>
      <c r="AE9" s="11" t="s">
        <v>86</v>
      </c>
      <c r="AF9" s="11" t="s">
        <v>87</v>
      </c>
      <c r="AG9" s="11" t="s">
        <v>88</v>
      </c>
      <c r="AK9" s="19">
        <v>0.05</v>
      </c>
      <c r="AR9" s="11">
        <v>5</v>
      </c>
      <c r="AS9" s="11">
        <v>11930</v>
      </c>
    </row>
    <row r="10" spans="2:45" ht="12.75">
      <c r="B10" s="11" t="s">
        <v>43</v>
      </c>
      <c r="C10" s="11" t="s">
        <v>44</v>
      </c>
      <c r="D10" s="12" t="s">
        <v>83</v>
      </c>
      <c r="E10" s="12" t="s">
        <v>84</v>
      </c>
      <c r="F10" s="12" t="s">
        <v>121</v>
      </c>
      <c r="G10" s="11" t="s">
        <v>85</v>
      </c>
      <c r="H10" s="11" t="s">
        <v>85</v>
      </c>
      <c r="I10" s="11" t="s">
        <v>85</v>
      </c>
      <c r="J10" s="11" t="s">
        <v>85</v>
      </c>
      <c r="K10" s="11" t="s">
        <v>85</v>
      </c>
      <c r="L10" s="11" t="s">
        <v>85</v>
      </c>
      <c r="M10" s="11" t="s">
        <v>85</v>
      </c>
      <c r="N10" s="11" t="s">
        <v>85</v>
      </c>
      <c r="O10" s="11" t="s">
        <v>85</v>
      </c>
      <c r="P10" s="11" t="s">
        <v>118</v>
      </c>
      <c r="Q10" s="11" t="s">
        <v>118</v>
      </c>
      <c r="R10" s="11" t="s">
        <v>118</v>
      </c>
      <c r="S10" s="11" t="s">
        <v>118</v>
      </c>
      <c r="T10" s="11" t="s">
        <v>118</v>
      </c>
      <c r="U10" s="11" t="s">
        <v>118</v>
      </c>
      <c r="V10" s="11" t="s">
        <v>118</v>
      </c>
      <c r="W10" s="11" t="s">
        <v>118</v>
      </c>
      <c r="X10" s="11" t="s">
        <v>118</v>
      </c>
      <c r="AR10" s="11">
        <f>LOG(AR9)</f>
        <v>0.6989700043360189</v>
      </c>
      <c r="AS10" s="11">
        <f>LOG(AS9)</f>
        <v>4.076640443670342</v>
      </c>
    </row>
    <row r="11" spans="1:33" ht="12.75">
      <c r="A11" s="11">
        <v>1</v>
      </c>
      <c r="B11" s="11">
        <v>11</v>
      </c>
      <c r="C11" s="11">
        <v>27</v>
      </c>
      <c r="D11" s="11">
        <v>9</v>
      </c>
      <c r="E11" s="18">
        <f>INDEX(Ave_Calc!$A:$XFD,$D11,E$1+($A11-1))</f>
        <v>40873</v>
      </c>
      <c r="F11" s="51">
        <f>DATEDIF(DATE(2011,3,11),E11,"d")</f>
        <v>260</v>
      </c>
      <c r="G11" s="19">
        <f>IF(INDEX(Ave_Calc!$A:$XFD,G$2+G$3,G$1+($A11-1))="",#N/A,INDEX(Ave_Calc!$A:$XFD,G$2+G$3,G$1+($A11-1)))</f>
        <v>1.0005400756002965</v>
      </c>
      <c r="H11" s="19">
        <f>IF(INDEX(Ave_Calc!$A:$XFD,H$2+H$3,H$1+($A11-1))="",#N/A,INDEX(Ave_Calc!$A:$XFD,H$2+H$3,H$1+($A11-1)))</f>
        <v>0.998299376987462</v>
      </c>
      <c r="I11" s="19">
        <f>IF(INDEX(Ave_Calc!$A:$XFD,I$2+I$3,I$1+($A11-1))="",#N/A,INDEX(Ave_Calc!$A:$XFD,I$2+I$3,I$1+($A11-1)))</f>
        <v>1.0393731178303194</v>
      </c>
      <c r="J11" s="19">
        <f>IF(INDEX(Ave_Calc!$A:$XFD,J$2+J$3,J$1+($A11-1))="",#N/A,INDEX(Ave_Calc!$A:$XFD,J$2+J$3,J$1+($A11-1)))</f>
        <v>1.0620721730716116</v>
      </c>
      <c r="K11" s="19">
        <f>IF(INDEX(Ave_Calc!$A:$XFD,K$2+K$3,K$1+($A11-1))="",#N/A,INDEX(Ave_Calc!$A:$XFD,K$2+K$3,K$1+($A11-1)))</f>
        <v>1.0590380810974311</v>
      </c>
      <c r="L11" s="19">
        <f>IF(INDEX(Ave_Calc!$A:$XFD,L$2+L$3,L$1+($A11-1))="",#N/A,INDEX(Ave_Calc!$A:$XFD,L$2+L$3,L$1+($A11-1)))</f>
        <v>1.0749963258236386</v>
      </c>
      <c r="M11" s="19">
        <f>IF(INDEX(Ave_Calc!$A:$XFD,M$2+M$3,M$1+($A11-1))="",#N/A,INDEX(Ave_Calc!$A:$XFD,M$2+M$3,M$1+($A11-1)))</f>
        <v>1.0354636984894212</v>
      </c>
      <c r="N11" s="19">
        <f>IF(INDEX(Ave_Calc!$A:$XFD,N$2+N$3,N$1+($A11-1))="",#N/A,INDEX(Ave_Calc!$A:$XFD,N$2+N$3,N$1+($A11-1)))</f>
        <v>1.0327726955363634</v>
      </c>
      <c r="O11" s="19">
        <f>IF(INDEX(Ave_Calc!$A:$XFD,O$2+O$3,O$1+($A11-1))="",#N/A,INDEX(Ave_Calc!$A:$XFD,O$2+O$3,O$1+($A11-1)))</f>
        <v>1.0595916953400408</v>
      </c>
      <c r="P11" s="19">
        <f>IF($B11="",#N/A,IF(INDEX(LOG_Calc!$A:$XFD,$B11,P$1)="",#N/A,INDEX(LOG_Calc!$A:$XFD,$B11,P$1)))</f>
        <v>0.893206753059848</v>
      </c>
      <c r="Q11" s="19">
        <f>IF($B11="",#N/A,IF(INDEX(LOG_Calc!$A:$XFD,$B11,Q$1)="",#N/A,INDEX(LOG_Calc!$A:$XFD,$B11,Q$1)))</f>
        <v>0.8915374576725644</v>
      </c>
      <c r="R11" s="19">
        <f>IF($B11="",#N/A,IF(INDEX(LOG_Calc!$A:$XFD,$B11,R$1)="",#N/A,INDEX(LOG_Calc!$A:$XFD,$B11,R$1)))</f>
        <v>0.9014583213961124</v>
      </c>
      <c r="S11" s="19">
        <f>IF($C11="",#N/A,IF(INDEX(LOG_Calc!$A:$XFD,$C11,S$1)="",#N/A,INDEX(LOG_Calc!$A:$XFD,$C11,S$1)))</f>
        <v>1.0374264979406236</v>
      </c>
      <c r="T11" s="19">
        <f>IF($C11="",#N/A,IF(INDEX(LOG_Calc!$A:$XFD,$C11,T$1)="",#N/A,INDEX(LOG_Calc!$A:$XFD,$C11,T$1)))</f>
        <v>1.0413926851582251</v>
      </c>
      <c r="U11" s="19">
        <f>IF($C11="",#N/A,IF(INDEX(LOG_Calc!$A:$XFD,$C11,U$1)="",#N/A,INDEX(LOG_Calc!$A:$XFD,$C11,U$1)))</f>
        <v>1.0413926851582251</v>
      </c>
      <c r="V11" s="19" t="e">
        <f>IF(INDEX(LOG_Calc!$A:$XFD,V$2+V$3,V$1+($A11-1))="",#N/A,INDEX(LOG_Calc!$A:$XFD,V$2+V$3,V$1+($A11-1)))</f>
        <v>#N/A</v>
      </c>
      <c r="W11" s="19" t="e">
        <f>IF(INDEX(LOG_Calc!$A:$XFD,W$2+W$3,W$1+($A11-1))="",#N/A,INDEX(LOG_Calc!$A:$XFD,W$2+W$3,W$1+($A11-1)))</f>
        <v>#N/A</v>
      </c>
      <c r="X11" s="19" t="e">
        <f>IF(INDEX(LOG_Calc!$A:$XFD,X$2+X$3,X$1+($A11-1))="",#N/A,INDEX(LOG_Calc!$A:$XFD,X$2+X$3,X$1+($A11-1)))</f>
        <v>#N/A</v>
      </c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3" ht="12.75">
      <c r="B12" s="11">
        <f>B11+1</f>
        <v>12</v>
      </c>
      <c r="C12" s="11">
        <f>C11+1</f>
        <v>28</v>
      </c>
      <c r="E12" s="18">
        <f>E11</f>
        <v>40873</v>
      </c>
      <c r="F12" s="51">
        <f aca="true" t="shared" si="5" ref="F12:F102">DATEDIF(DATE(2011,3,11),E12,"d")</f>
        <v>260</v>
      </c>
      <c r="G12" s="19"/>
      <c r="H12" s="19"/>
      <c r="I12" s="19"/>
      <c r="J12" s="19"/>
      <c r="K12" s="19"/>
      <c r="L12" s="19"/>
      <c r="M12" s="19"/>
      <c r="N12" s="19"/>
      <c r="O12" s="19"/>
      <c r="P12" s="19">
        <f>IF($B12="",#N/A,IF(INDEX(LOG_Calc!$A:$XFD,$B12,P$1)="",#N/A,INDEX(LOG_Calc!$A:$XFD,$B12,P$1)))</f>
        <v>0.8920946026904804</v>
      </c>
      <c r="Q12" s="19">
        <f>IF($B12="",#N/A,IF(INDEX(LOG_Calc!$A:$XFD,$B12,Q$1)="",#N/A,INDEX(LOG_Calc!$A:$XFD,$B12,Q$1)))</f>
        <v>0.887054378050957</v>
      </c>
      <c r="R12" s="19">
        <f>IF($B12="",#N/A,IF(INDEX(LOG_Calc!$A:$XFD,$B12,R$1)="",#N/A,INDEX(LOG_Calc!$A:$XFD,$B12,R$1)))</f>
        <v>0.9344984512435677</v>
      </c>
      <c r="S12" s="19">
        <f>IF($C12="",#N/A,IF(INDEX(LOG_Calc!$A:$XFD,$C12,S$1)="",#N/A,INDEX(LOG_Calc!$A:$XFD,$C12,S$1)))</f>
        <v>1.1172712956557642</v>
      </c>
      <c r="T12" s="19">
        <f>IF($C12="",#N/A,IF(INDEX(LOG_Calc!$A:$XFD,$C12,T$1)="",#N/A,INDEX(LOG_Calc!$A:$XFD,$C12,T$1)))</f>
        <v>1.0644579892269184</v>
      </c>
      <c r="U12" s="19">
        <f>IF($C12="",#N/A,IF(INDEX(LOG_Calc!$A:$XFD,$C12,U$1)="",#N/A,INDEX(LOG_Calc!$A:$XFD,$C12,U$1)))</f>
        <v>1.1038037209559568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2:33" ht="12.75">
      <c r="B13" s="11">
        <f aca="true" t="shared" si="6" ref="B13:B26">B12+1</f>
        <v>13</v>
      </c>
      <c r="C13" s="11">
        <f aca="true" t="shared" si="7" ref="C13:C30">C12+1</f>
        <v>29</v>
      </c>
      <c r="E13" s="18">
        <f aca="true" t="shared" si="8" ref="E13:E30">E12</f>
        <v>40873</v>
      </c>
      <c r="F13" s="51">
        <f t="shared" si="5"/>
        <v>260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f>IF($B13="",#N/A,IF(INDEX(LOG_Calc!$A:$XFD,$B13,P$1)="",#N/A,INDEX(LOG_Calc!$A:$XFD,$B13,P$1)))</f>
        <v>0.9084850188786497</v>
      </c>
      <c r="Q13" s="19">
        <f>IF($B13="",#N/A,IF(INDEX(LOG_Calc!$A:$XFD,$B13,Q$1)="",#N/A,INDEX(LOG_Calc!$A:$XFD,$B13,Q$1)))</f>
        <v>0.9003671286564703</v>
      </c>
      <c r="R13" s="19">
        <f>IF($B13="",#N/A,IF(INDEX(LOG_Calc!$A:$XFD,$B13,R$1)="",#N/A,INDEX(LOG_Calc!$A:$XFD,$B13,R$1)))</f>
        <v>0.9057958803678685</v>
      </c>
      <c r="S13" s="19">
        <f>IF($C13="",#N/A,IF(INDEX(LOG_Calc!$A:$XFD,$C13,S$1)="",#N/A,INDEX(LOG_Calc!$A:$XFD,$C13,S$1)))</f>
        <v>1.0492180226701815</v>
      </c>
      <c r="T13" s="19">
        <f>IF($C13="",#N/A,IF(INDEX(LOG_Calc!$A:$XFD,$C13,T$1)="",#N/A,INDEX(LOG_Calc!$A:$XFD,$C13,T$1)))</f>
        <v>1.0334237554869496</v>
      </c>
      <c r="U13" s="19">
        <f>IF($C13="",#N/A,IF(INDEX(LOG_Calc!$A:$XFD,$C13,U$1)="",#N/A,INDEX(LOG_Calc!$A:$XFD,$C13,U$1)))</f>
        <v>1.0334237554869496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3" ht="12.75">
      <c r="B14" s="11">
        <f t="shared" si="6"/>
        <v>14</v>
      </c>
      <c r="C14" s="11">
        <f t="shared" si="7"/>
        <v>30</v>
      </c>
      <c r="E14" s="18">
        <f t="shared" si="8"/>
        <v>40873</v>
      </c>
      <c r="F14" s="51">
        <f t="shared" si="5"/>
        <v>260</v>
      </c>
      <c r="G14" s="19"/>
      <c r="H14" s="19"/>
      <c r="I14" s="19"/>
      <c r="J14" s="19"/>
      <c r="K14" s="19"/>
      <c r="L14" s="19"/>
      <c r="M14" s="19"/>
      <c r="N14" s="19"/>
      <c r="O14" s="19"/>
      <c r="P14" s="19">
        <f>IF($B14="",#N/A,IF(INDEX(LOG_Calc!$A:$XFD,$B14,P$1)="",#N/A,INDEX(LOG_Calc!$A:$XFD,$B14,P$1)))</f>
        <v>1.0253058652647702</v>
      </c>
      <c r="Q14" s="19">
        <f>IF($B14="",#N/A,IF(INDEX(LOG_Calc!$A:$XFD,$B14,Q$1)="",#N/A,INDEX(LOG_Calc!$A:$XFD,$B14,Q$1)))</f>
        <v>1.0253058652647702</v>
      </c>
      <c r="R14" s="19">
        <f>IF($B14="",#N/A,IF(INDEX(LOG_Calc!$A:$XFD,$B14,R$1)="",#N/A,INDEX(LOG_Calc!$A:$XFD,$B14,R$1)))</f>
        <v>1.021189299069938</v>
      </c>
      <c r="S14" s="19">
        <f>IF($C14="",#N/A,IF(INDEX(LOG_Calc!$A:$XFD,$C14,S$1)="",#N/A,INDEX(LOG_Calc!$A:$XFD,$C14,S$1)))</f>
        <v>1.0293837776852097</v>
      </c>
      <c r="T14" s="19">
        <f>IF($C14="",#N/A,IF(INDEX(LOG_Calc!$A:$XFD,$C14,T$1)="",#N/A,INDEX(LOG_Calc!$A:$XFD,$C14,T$1)))</f>
        <v>1.0334237554869496</v>
      </c>
      <c r="U14" s="19">
        <f>IF($C14="",#N/A,IF(INDEX(LOG_Calc!$A:$XFD,$C14,U$1)="",#N/A,INDEX(LOG_Calc!$A:$XFD,$C14,U$1)))</f>
        <v>1.0293837776852097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2:33" ht="12.75">
      <c r="B15" s="11">
        <f t="shared" si="6"/>
        <v>15</v>
      </c>
      <c r="C15" s="11">
        <f t="shared" si="7"/>
        <v>31</v>
      </c>
      <c r="E15" s="18">
        <f t="shared" si="8"/>
        <v>40873</v>
      </c>
      <c r="F15" s="51">
        <f t="shared" si="5"/>
        <v>260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f>IF($B15="",#N/A,IF(INDEX(LOG_Calc!$A:$XFD,$B15,P$1)="",#N/A,INDEX(LOG_Calc!$A:$XFD,$B15,P$1)))</f>
        <v>1.0863598306747482</v>
      </c>
      <c r="Q15" s="19">
        <f>IF($B15="",#N/A,IF(INDEX(LOG_Calc!$A:$XFD,$B15,Q$1)="",#N/A,INDEX(LOG_Calc!$A:$XFD,$B15,Q$1)))</f>
        <v>1.08278537031645</v>
      </c>
      <c r="R15" s="19">
        <f>IF($B15="",#N/A,IF(INDEX(LOG_Calc!$A:$XFD,$B15,R$1)="",#N/A,INDEX(LOG_Calc!$A:$XFD,$B15,R$1)))</f>
        <v>1.08278537031645</v>
      </c>
      <c r="S15" s="19">
        <f>IF($C15="",#N/A,IF(INDEX(LOG_Calc!$A:$XFD,$C15,S$1)="",#N/A,INDEX(LOG_Calc!$A:$XFD,$C15,S$1)))</f>
        <v>1.0863598306747482</v>
      </c>
      <c r="T15" s="19">
        <f>IF($C15="",#N/A,IF(INDEX(LOG_Calc!$A:$XFD,$C15,T$1)="",#N/A,INDEX(LOG_Calc!$A:$XFD,$C15,T$1)))</f>
        <v>1.08278537031645</v>
      </c>
      <c r="U15" s="19">
        <f>IF($C15="",#N/A,IF(INDEX(LOG_Calc!$A:$XFD,$C15,U$1)="",#N/A,INDEX(LOG_Calc!$A:$XFD,$C15,U$1)))</f>
        <v>1.08278537031645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 ht="12.75">
      <c r="B16" s="11">
        <f t="shared" si="6"/>
        <v>16</v>
      </c>
      <c r="C16" s="11">
        <f t="shared" si="7"/>
        <v>32</v>
      </c>
      <c r="E16" s="18">
        <f t="shared" si="8"/>
        <v>40873</v>
      </c>
      <c r="F16" s="51">
        <f t="shared" si="5"/>
        <v>260</v>
      </c>
      <c r="G16" s="19"/>
      <c r="H16" s="19"/>
      <c r="I16" s="19"/>
      <c r="J16" s="19"/>
      <c r="K16" s="19"/>
      <c r="L16" s="19"/>
      <c r="M16" s="19"/>
      <c r="N16" s="19"/>
      <c r="O16" s="19"/>
      <c r="P16" s="19">
        <f>IF($B16="",#N/A,IF(INDEX(LOG_Calc!$A:$XFD,$B16,P$1)="",#N/A,INDEX(LOG_Calc!$A:$XFD,$B16,P$1)))</f>
        <v>1.0969100130080565</v>
      </c>
      <c r="Q16" s="19">
        <f>IF($B16="",#N/A,IF(INDEX(LOG_Calc!$A:$XFD,$B16,Q$1)="",#N/A,INDEX(LOG_Calc!$A:$XFD,$B16,Q$1)))</f>
        <v>1.0934216851622351</v>
      </c>
      <c r="R16" s="19">
        <f>IF($B16="",#N/A,IF(INDEX(LOG_Calc!$A:$XFD,$B16,R$1)="",#N/A,INDEX(LOG_Calc!$A:$XFD,$B16,R$1)))</f>
        <v>1.0969100130080565</v>
      </c>
      <c r="S16" s="19">
        <f>IF($C16="",#N/A,IF(INDEX(LOG_Calc!$A:$XFD,$C16,S$1)="",#N/A,INDEX(LOG_Calc!$A:$XFD,$C16,S$1)))</f>
        <v>1.0969100130080565</v>
      </c>
      <c r="T16" s="19">
        <f>IF($C16="",#N/A,IF(INDEX(LOG_Calc!$A:$XFD,$C16,T$1)="",#N/A,INDEX(LOG_Calc!$A:$XFD,$C16,T$1)))</f>
        <v>1.0934216851622351</v>
      </c>
      <c r="U16" s="19">
        <f>IF($C16="",#N/A,IF(INDEX(LOG_Calc!$A:$XFD,$C16,U$1)="",#N/A,INDEX(LOG_Calc!$A:$XFD,$C16,U$1)))</f>
        <v>1.0969100130080565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 ht="12.75">
      <c r="B17" s="11">
        <f t="shared" si="6"/>
        <v>17</v>
      </c>
      <c r="C17" s="11">
        <f t="shared" si="7"/>
        <v>33</v>
      </c>
      <c r="E17" s="18">
        <f t="shared" si="8"/>
        <v>40873</v>
      </c>
      <c r="F17" s="51">
        <f t="shared" si="5"/>
        <v>260</v>
      </c>
      <c r="G17" s="19"/>
      <c r="H17" s="19"/>
      <c r="I17" s="19"/>
      <c r="J17" s="19"/>
      <c r="K17" s="19"/>
      <c r="L17" s="19"/>
      <c r="M17" s="19"/>
      <c r="N17" s="19"/>
      <c r="O17" s="19"/>
      <c r="P17" s="19">
        <f>IF($B17="",#N/A,IF(INDEX(LOG_Calc!$A:$XFD,$B17,P$1)="",#N/A,INDEX(LOG_Calc!$A:$XFD,$B17,P$1)))</f>
        <v>1.0569048513364727</v>
      </c>
      <c r="Q17" s="19">
        <f>IF($B17="",#N/A,IF(INDEX(LOG_Calc!$A:$XFD,$B17,Q$1)="",#N/A,INDEX(LOG_Calc!$A:$XFD,$B17,Q$1)))</f>
        <v>1.0569048513364727</v>
      </c>
      <c r="R17" s="19">
        <f>IF($B17="",#N/A,IF(INDEX(LOG_Calc!$A:$XFD,$B17,R$1)="",#N/A,INDEX(LOG_Calc!$A:$XFD,$B17,R$1)))</f>
        <v>1.1238516409670858</v>
      </c>
      <c r="S17" s="19">
        <f>IF($C17="",#N/A,IF(INDEX(LOG_Calc!$A:$XFD,$C17,S$1)="",#N/A,INDEX(LOG_Calc!$A:$XFD,$C17,S$1)))</f>
        <v>1.0569048513364727</v>
      </c>
      <c r="T17" s="19">
        <f>IF($C17="",#N/A,IF(INDEX(LOG_Calc!$A:$XFD,$C17,T$1)="",#N/A,INDEX(LOG_Calc!$A:$XFD,$C17,T$1)))</f>
        <v>1.0569048513364727</v>
      </c>
      <c r="U17" s="19">
        <f>IF($C17="",#N/A,IF(INDEX(LOG_Calc!$A:$XFD,$C17,U$1)="",#N/A,INDEX(LOG_Calc!$A:$XFD,$C17,U$1)))</f>
        <v>1.1238516409670858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3" ht="12.75">
      <c r="B18" s="11">
        <f t="shared" si="6"/>
        <v>18</v>
      </c>
      <c r="C18" s="11">
        <f t="shared" si="7"/>
        <v>34</v>
      </c>
      <c r="E18" s="18">
        <f t="shared" si="8"/>
        <v>40873</v>
      </c>
      <c r="F18" s="51">
        <f t="shared" si="5"/>
        <v>260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>IF($B18="",#N/A,IF(INDEX(LOG_Calc!$A:$XFD,$B18,P$1)="",#N/A,INDEX(LOG_Calc!$A:$XFD,$B18,P$1)))</f>
        <v>1.1139433523068367</v>
      </c>
      <c r="Q18" s="19">
        <f>IF($B18="",#N/A,IF(INDEX(LOG_Calc!$A:$XFD,$B18,Q$1)="",#N/A,INDEX(LOG_Calc!$A:$XFD,$B18,Q$1)))</f>
        <v>1.1139433523068367</v>
      </c>
      <c r="R18" s="19">
        <f>IF($B18="",#N/A,IF(INDEX(LOG_Calc!$A:$XFD,$B18,R$1)="",#N/A,INDEX(LOG_Calc!$A:$XFD,$B18,R$1)))</f>
        <v>1.1205739312058498</v>
      </c>
      <c r="S18" s="19">
        <f>IF($C18="",#N/A,IF(INDEX(LOG_Calc!$A:$XFD,$C18,S$1)="",#N/A,INDEX(LOG_Calc!$A:$XFD,$C18,S$1)))</f>
        <v>1.1139433523068367</v>
      </c>
      <c r="T18" s="19">
        <f>IF($C18="",#N/A,IF(INDEX(LOG_Calc!$A:$XFD,$C18,T$1)="",#N/A,INDEX(LOG_Calc!$A:$XFD,$C18,T$1)))</f>
        <v>1.1139433523068367</v>
      </c>
      <c r="U18" s="19">
        <f>IF($C18="",#N/A,IF(INDEX(LOG_Calc!$A:$XFD,$C18,U$1)="",#N/A,INDEX(LOG_Calc!$A:$XFD,$C18,U$1)))</f>
        <v>1.0791812460476249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2:33" ht="12.75">
      <c r="B19" s="11">
        <f t="shared" si="6"/>
        <v>19</v>
      </c>
      <c r="C19" s="11">
        <f t="shared" si="7"/>
        <v>35</v>
      </c>
      <c r="E19" s="18">
        <f t="shared" si="8"/>
        <v>40873</v>
      </c>
      <c r="F19" s="51">
        <f t="shared" si="5"/>
        <v>260</v>
      </c>
      <c r="G19" s="19"/>
      <c r="H19" s="19"/>
      <c r="I19" s="19"/>
      <c r="J19" s="19"/>
      <c r="K19" s="19"/>
      <c r="L19" s="19"/>
      <c r="M19" s="19"/>
      <c r="N19" s="19"/>
      <c r="O19" s="19"/>
      <c r="P19" s="19">
        <f>IF($B19="",#N/A,IF(INDEX(LOG_Calc!$A:$XFD,$B19,P$1)="",#N/A,INDEX(LOG_Calc!$A:$XFD,$B19,P$1)))</f>
        <v>0.9444826721501687</v>
      </c>
      <c r="Q19" s="19">
        <f>IF($B19="",#N/A,IF(INDEX(LOG_Calc!$A:$XFD,$B19,Q$1)="",#N/A,INDEX(LOG_Calc!$A:$XFD,$B19,Q$1)))</f>
        <v>0.9344984512435677</v>
      </c>
      <c r="R19" s="19">
        <f>IF($B19="",#N/A,IF(INDEX(LOG_Calc!$A:$XFD,$B19,R$1)="",#N/A,INDEX(LOG_Calc!$A:$XFD,$B19,R$1)))</f>
        <v>0.9614210940664483</v>
      </c>
      <c r="S19" s="19">
        <f>IF($C19="",#N/A,IF(INDEX(LOG_Calc!$A:$XFD,$C19,S$1)="",#N/A,INDEX(LOG_Calc!$A:$XFD,$C19,S$1)))</f>
        <v>1.0718820073061255</v>
      </c>
      <c r="T19" s="19">
        <f>IF($C19="",#N/A,IF(INDEX(LOG_Calc!$A:$XFD,$C19,T$1)="",#N/A,INDEX(LOG_Calc!$A:$XFD,$C19,T$1)))</f>
        <v>1.0718820073061255</v>
      </c>
      <c r="U19" s="19">
        <f>IF($C19="",#N/A,IF(INDEX(LOG_Calc!$A:$XFD,$C19,U$1)="",#N/A,INDEX(LOG_Calc!$A:$XFD,$C19,U$1)))</f>
        <v>1.0718820073061255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2:33" ht="12.75">
      <c r="B20" s="11">
        <f t="shared" si="6"/>
        <v>20</v>
      </c>
      <c r="C20" s="11">
        <f t="shared" si="7"/>
        <v>36</v>
      </c>
      <c r="E20" s="18">
        <f t="shared" si="8"/>
        <v>40873</v>
      </c>
      <c r="F20" s="51">
        <f t="shared" si="5"/>
        <v>260</v>
      </c>
      <c r="G20" s="19"/>
      <c r="H20" s="19"/>
      <c r="I20" s="19"/>
      <c r="J20" s="19"/>
      <c r="K20" s="19"/>
      <c r="L20" s="19"/>
      <c r="M20" s="19"/>
      <c r="N20" s="19"/>
      <c r="O20" s="19"/>
      <c r="P20" s="19">
        <f>IF($B20="",#N/A,IF(INDEX(LOG_Calc!$A:$XFD,$B20,P$1)="",#N/A,INDEX(LOG_Calc!$A:$XFD,$B20,P$1)))</f>
        <v>0.9180303367848801</v>
      </c>
      <c r="Q20" s="19">
        <f>IF($B20="",#N/A,IF(INDEX(LOG_Calc!$A:$XFD,$B20,Q$1)="",#N/A,INDEX(LOG_Calc!$A:$XFD,$B20,Q$1)))</f>
        <v>0.9148718175400504</v>
      </c>
      <c r="R20" s="19">
        <f>IF($B20="",#N/A,IF(INDEX(LOG_Calc!$A:$XFD,$B20,R$1)="",#N/A,INDEX(LOG_Calc!$A:$XFD,$B20,R$1)))</f>
        <v>1.1613680022349748</v>
      </c>
      <c r="S20" s="19">
        <f>IF($C20="",#N/A,IF(INDEX(LOG_Calc!$A:$XFD,$C20,S$1)="",#N/A,INDEX(LOG_Calc!$A:$XFD,$C20,S$1)))</f>
        <v>1.0791812460476249</v>
      </c>
      <c r="T20" s="19">
        <f>IF($C20="",#N/A,IF(INDEX(LOG_Calc!$A:$XFD,$C20,T$1)="",#N/A,INDEX(LOG_Calc!$A:$XFD,$C20,T$1)))</f>
        <v>1.0718820073061255</v>
      </c>
      <c r="U20" s="19">
        <f>IF($C20="",#N/A,IF(INDEX(LOG_Calc!$A:$XFD,$C20,U$1)="",#N/A,INDEX(LOG_Calc!$A:$XFD,$C20,U$1)))</f>
        <v>1.0718820073061255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2:33" ht="12.75">
      <c r="B21" s="11">
        <f t="shared" si="6"/>
        <v>21</v>
      </c>
      <c r="C21" s="11">
        <f t="shared" si="7"/>
        <v>37</v>
      </c>
      <c r="E21" s="18">
        <f t="shared" si="8"/>
        <v>40873</v>
      </c>
      <c r="F21" s="51">
        <f t="shared" si="5"/>
        <v>260</v>
      </c>
      <c r="G21" s="19"/>
      <c r="H21" s="19"/>
      <c r="I21" s="19"/>
      <c r="J21" s="19"/>
      <c r="K21" s="19"/>
      <c r="L21" s="19"/>
      <c r="M21" s="19"/>
      <c r="N21" s="19"/>
      <c r="O21" s="19"/>
      <c r="P21" s="19">
        <f>IF($B21="",#N/A,IF(INDEX(LOG_Calc!$A:$XFD,$B21,P$1)="",#N/A,INDEX(LOG_Calc!$A:$XFD,$B21,P$1)))</f>
        <v>1.0293837776852097</v>
      </c>
      <c r="Q21" s="19">
        <f>IF($B21="",#N/A,IF(INDEX(LOG_Calc!$A:$XFD,$B21,Q$1)="",#N/A,INDEX(LOG_Calc!$A:$XFD,$B21,Q$1)))</f>
        <v>1.0293837776852097</v>
      </c>
      <c r="R21" s="19">
        <f>IF($B21="",#N/A,IF(INDEX(LOG_Calc!$A:$XFD,$B21,R$1)="",#N/A,INDEX(LOG_Calc!$A:$XFD,$B21,R$1)))</f>
        <v>1.0293837776852097</v>
      </c>
      <c r="S21" s="19">
        <f>IF($C21="",#N/A,IF(INDEX(LOG_Calc!$A:$XFD,$C21,S$1)="",#N/A,INDEX(LOG_Calc!$A:$XFD,$C21,S$1)))</f>
        <v>1.0334237554869496</v>
      </c>
      <c r="T21" s="19">
        <f>IF($C21="",#N/A,IF(INDEX(LOG_Calc!$A:$XFD,$C21,T$1)="",#N/A,INDEX(LOG_Calc!$A:$XFD,$C21,T$1)))</f>
        <v>1.0334237554869496</v>
      </c>
      <c r="U21" s="19">
        <f>IF($C21="",#N/A,IF(INDEX(LOG_Calc!$A:$XFD,$C21,U$1)="",#N/A,INDEX(LOG_Calc!$A:$XFD,$C21,U$1)))</f>
        <v>1.0374264979406236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2:33" ht="12.75">
      <c r="B22" s="11">
        <f t="shared" si="6"/>
        <v>22</v>
      </c>
      <c r="C22" s="11">
        <f t="shared" si="7"/>
        <v>38</v>
      </c>
      <c r="E22" s="18">
        <f t="shared" si="8"/>
        <v>40873</v>
      </c>
      <c r="F22" s="51">
        <f t="shared" si="5"/>
        <v>260</v>
      </c>
      <c r="G22" s="19"/>
      <c r="H22" s="19"/>
      <c r="I22" s="19"/>
      <c r="J22" s="19"/>
      <c r="K22" s="19"/>
      <c r="L22" s="19"/>
      <c r="M22" s="19"/>
      <c r="N22" s="19"/>
      <c r="O22" s="19"/>
      <c r="P22" s="19">
        <f>IF($B22="",#N/A,IF(INDEX(LOG_Calc!$A:$XFD,$B22,P$1)="",#N/A,INDEX(LOG_Calc!$A:$XFD,$B22,P$1)))</f>
        <v>1.0374264979406236</v>
      </c>
      <c r="Q22" s="19">
        <f>IF($B22="",#N/A,IF(INDEX(LOG_Calc!$A:$XFD,$B22,Q$1)="",#N/A,INDEX(LOG_Calc!$A:$XFD,$B22,Q$1)))</f>
        <v>1.0334237554869496</v>
      </c>
      <c r="R22" s="19">
        <f>IF($B22="",#N/A,IF(INDEX(LOG_Calc!$A:$XFD,$B22,R$1)="",#N/A,INDEX(LOG_Calc!$A:$XFD,$B22,R$1)))</f>
        <v>1.0334237554869496</v>
      </c>
      <c r="S22" s="19">
        <f>IF($C22="",#N/A,IF(INDEX(LOG_Calc!$A:$XFD,$C22,S$1)="",#N/A,INDEX(LOG_Calc!$A:$XFD,$C22,S$1)))</f>
        <v>1.0606978403536116</v>
      </c>
      <c r="T22" s="19">
        <f>IF($C22="",#N/A,IF(INDEX(LOG_Calc!$A:$XFD,$C22,T$1)="",#N/A,INDEX(LOG_Calc!$A:$XFD,$C22,T$1)))</f>
        <v>1.0606978403536116</v>
      </c>
      <c r="U22" s="19">
        <f>IF($C22="",#N/A,IF(INDEX(LOG_Calc!$A:$XFD,$C22,U$1)="",#N/A,INDEX(LOG_Calc!$A:$XFD,$C22,U$1)))</f>
        <v>1.0569048513364727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3" ht="12.75">
      <c r="B23" s="11">
        <f t="shared" si="6"/>
        <v>23</v>
      </c>
      <c r="C23" s="11">
        <f t="shared" si="7"/>
        <v>39</v>
      </c>
      <c r="E23" s="18">
        <f t="shared" si="8"/>
        <v>40873</v>
      </c>
      <c r="F23" s="51">
        <f t="shared" si="5"/>
        <v>260</v>
      </c>
      <c r="G23" s="19"/>
      <c r="H23" s="19"/>
      <c r="I23" s="19"/>
      <c r="J23" s="19"/>
      <c r="K23" s="19"/>
      <c r="L23" s="19"/>
      <c r="M23" s="19"/>
      <c r="N23" s="19"/>
      <c r="O23" s="19"/>
      <c r="P23" s="19">
        <f>IF($B23="",#N/A,IF(INDEX(LOG_Calc!$A:$XFD,$B23,P$1)="",#N/A,INDEX(LOG_Calc!$A:$XFD,$B23,P$1)))</f>
        <v>1.0413926851582251</v>
      </c>
      <c r="Q23" s="19">
        <f>IF($B23="",#N/A,IF(INDEX(LOG_Calc!$A:$XFD,$B23,Q$1)="",#N/A,INDEX(LOG_Calc!$A:$XFD,$B23,Q$1)))</f>
        <v>1.0374264979406236</v>
      </c>
      <c r="R23" s="19">
        <f>IF($B23="",#N/A,IF(INDEX(LOG_Calc!$A:$XFD,$B23,R$1)="",#N/A,INDEX(LOG_Calc!$A:$XFD,$B23,R$1)))</f>
        <v>1.0413926851582251</v>
      </c>
      <c r="S23" s="19">
        <f>IF($C23="",#N/A,IF(INDEX(LOG_Calc!$A:$XFD,$C23,S$1)="",#N/A,INDEX(LOG_Calc!$A:$XFD,$C23,S$1)))</f>
        <v>1.0530784434834197</v>
      </c>
      <c r="T23" s="19">
        <f>IF($C23="",#N/A,IF(INDEX(LOG_Calc!$A:$XFD,$C23,T$1)="",#N/A,INDEX(LOG_Calc!$A:$XFD,$C23,T$1)))</f>
        <v>1.0530784434834197</v>
      </c>
      <c r="U23" s="19">
        <f>IF($C23="",#N/A,IF(INDEX(LOG_Calc!$A:$XFD,$C23,U$1)="",#N/A,INDEX(LOG_Calc!$A:$XFD,$C23,U$1)))</f>
        <v>1.0530784434834197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3" ht="12.75">
      <c r="B24" s="11">
        <f t="shared" si="6"/>
        <v>24</v>
      </c>
      <c r="C24" s="11">
        <f t="shared" si="7"/>
        <v>40</v>
      </c>
      <c r="E24" s="18">
        <f t="shared" si="8"/>
        <v>40873</v>
      </c>
      <c r="F24" s="51">
        <f t="shared" si="5"/>
        <v>260</v>
      </c>
      <c r="G24" s="19"/>
      <c r="H24" s="19"/>
      <c r="I24" s="19"/>
      <c r="J24" s="19"/>
      <c r="K24" s="19"/>
      <c r="L24" s="19"/>
      <c r="M24" s="19"/>
      <c r="N24" s="19"/>
      <c r="O24" s="19"/>
      <c r="P24" s="19">
        <f>IF($B24="",#N/A,IF(INDEX(LOG_Calc!$A:$XFD,$B24,P$1)="",#N/A,INDEX(LOG_Calc!$A:$XFD,$B24,P$1)))</f>
        <v>0.9025467793139914</v>
      </c>
      <c r="Q24" s="19">
        <f>IF($B24="",#N/A,IF(INDEX(LOG_Calc!$A:$XFD,$B24,Q$1)="",#N/A,INDEX(LOG_Calc!$A:$XFD,$B24,Q$1)))</f>
        <v>0.9014583213961124</v>
      </c>
      <c r="R24" s="19">
        <f>IF($B24="",#N/A,IF(INDEX(LOG_Calc!$A:$XFD,$B24,R$1)="",#N/A,INDEX(LOG_Calc!$A:$XFD,$B24,R$1)))</f>
        <v>1.14921911265538</v>
      </c>
      <c r="S24" s="19">
        <f>IF($C24="",#N/A,IF(INDEX(LOG_Calc!$A:$XFD,$C24,S$1)="",#N/A,INDEX(LOG_Calc!$A:$XFD,$C24,S$1)))</f>
        <v>1.0492180226701815</v>
      </c>
      <c r="T24" s="19">
        <f>IF($C24="",#N/A,IF(INDEX(LOG_Calc!$A:$XFD,$C24,T$1)="",#N/A,INDEX(LOG_Calc!$A:$XFD,$C24,T$1)))</f>
        <v>1.0492180226701815</v>
      </c>
      <c r="U24" s="19">
        <f>IF($C24="",#N/A,IF(INDEX(LOG_Calc!$A:$XFD,$C24,U$1)="",#N/A,INDEX(LOG_Calc!$A:$XFD,$C24,U$1)))</f>
        <v>1.0492180226701815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ht="12.75">
      <c r="B25" s="11">
        <f t="shared" si="6"/>
        <v>25</v>
      </c>
      <c r="C25" s="11">
        <f t="shared" si="7"/>
        <v>41</v>
      </c>
      <c r="E25" s="18">
        <f t="shared" si="8"/>
        <v>40873</v>
      </c>
      <c r="F25" s="51">
        <f t="shared" si="5"/>
        <v>260</v>
      </c>
      <c r="G25" s="19"/>
      <c r="H25" s="19"/>
      <c r="I25" s="19"/>
      <c r="J25" s="19"/>
      <c r="K25" s="19"/>
      <c r="L25" s="19"/>
      <c r="M25" s="19"/>
      <c r="N25" s="19"/>
      <c r="O25" s="19"/>
      <c r="P25" s="19">
        <f>IF($B25="",#N/A,IF(INDEX(LOG_Calc!$A:$XFD,$B25,P$1)="",#N/A,INDEX(LOG_Calc!$A:$XFD,$B25,P$1)))</f>
        <v>1.0207754881935578</v>
      </c>
      <c r="Q25" s="19">
        <f>IF($B25="",#N/A,IF(INDEX(LOG_Calc!$A:$XFD,$B25,Q$1)="",#N/A,INDEX(LOG_Calc!$A:$XFD,$B25,Q$1)))</f>
        <v>1.021189299069938</v>
      </c>
      <c r="R25" s="19">
        <f>IF($B25="",#N/A,IF(INDEX(LOG_Calc!$A:$XFD,$B25,R$1)="",#N/A,INDEX(LOG_Calc!$A:$XFD,$B25,R$1)))</f>
        <v>1.0253058652647702</v>
      </c>
      <c r="S25" s="19">
        <f>IF($C25="",#N/A,IF(INDEX(LOG_Calc!$A:$XFD,$C25,S$1)="",#N/A,INDEX(LOG_Calc!$A:$XFD,$C25,S$1)))</f>
        <v>1.0530784434834197</v>
      </c>
      <c r="T25" s="19">
        <f>IF($C25="",#N/A,IF(INDEX(LOG_Calc!$A:$XFD,$C25,T$1)="",#N/A,INDEX(LOG_Calc!$A:$XFD,$C25,T$1)))</f>
        <v>1.0530784434834197</v>
      </c>
      <c r="U25" s="19">
        <f>IF($C25="",#N/A,IF(INDEX(LOG_Calc!$A:$XFD,$C25,U$1)="",#N/A,INDEX(LOG_Calc!$A:$XFD,$C25,U$1)))</f>
        <v>1.0569048513364727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 ht="12.75">
      <c r="B26" s="11">
        <f t="shared" si="6"/>
        <v>26</v>
      </c>
      <c r="C26" s="11">
        <f t="shared" si="7"/>
        <v>42</v>
      </c>
      <c r="E26" s="18">
        <f t="shared" si="8"/>
        <v>40873</v>
      </c>
      <c r="F26" s="51">
        <f t="shared" si="5"/>
        <v>260</v>
      </c>
      <c r="G26" s="19"/>
      <c r="H26" s="19"/>
      <c r="I26" s="19"/>
      <c r="J26" s="19"/>
      <c r="K26" s="19"/>
      <c r="L26" s="19"/>
      <c r="M26" s="19"/>
      <c r="N26" s="19"/>
      <c r="O26" s="19"/>
      <c r="P26" s="19">
        <f>IF($B26="",#N/A,IF(INDEX(LOG_Calc!$A:$XFD,$B26,P$1)="",#N/A,INDEX(LOG_Calc!$A:$XFD,$B26,P$1)))</f>
        <v>1.0413926851582251</v>
      </c>
      <c r="Q26" s="19">
        <f>IF($B26="",#N/A,IF(INDEX(LOG_Calc!$A:$XFD,$B26,Q$1)="",#N/A,INDEX(LOG_Calc!$A:$XFD,$B26,Q$1)))</f>
        <v>1.0492180226701815</v>
      </c>
      <c r="R26" s="19">
        <f>IF($B26="",#N/A,IF(INDEX(LOG_Calc!$A:$XFD,$B26,R$1)="",#N/A,INDEX(LOG_Calc!$A:$XFD,$B26,R$1)))</f>
        <v>1.0413926851582251</v>
      </c>
      <c r="S26" s="19">
        <f>IF($C26="",#N/A,IF(INDEX(LOG_Calc!$A:$XFD,$C26,S$1)="",#N/A,INDEX(LOG_Calc!$A:$XFD,$C26,S$1)))</f>
        <v>1.0374264979406236</v>
      </c>
      <c r="T26" s="19">
        <f>IF($C26="",#N/A,IF(INDEX(LOG_Calc!$A:$XFD,$C26,T$1)="",#N/A,INDEX(LOG_Calc!$A:$XFD,$C26,T$1)))</f>
        <v>1.0413926851582251</v>
      </c>
      <c r="U26" s="19">
        <f>IF($C26="",#N/A,IF(INDEX(LOG_Calc!$A:$XFD,$C26,U$1)="",#N/A,INDEX(LOG_Calc!$A:$XFD,$C26,U$1)))</f>
        <v>1.0453229787866574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3:33" ht="12.75">
      <c r="C27" s="11">
        <f t="shared" si="7"/>
        <v>43</v>
      </c>
      <c r="E27" s="18">
        <f t="shared" si="8"/>
        <v>40873</v>
      </c>
      <c r="F27" s="51">
        <f t="shared" si="5"/>
        <v>260</v>
      </c>
      <c r="G27" s="19"/>
      <c r="H27" s="19"/>
      <c r="I27" s="19"/>
      <c r="J27" s="19"/>
      <c r="K27" s="19"/>
      <c r="L27" s="19"/>
      <c r="M27" s="19"/>
      <c r="N27" s="19"/>
      <c r="O27" s="19"/>
      <c r="P27" s="19" t="e">
        <f>IF($B27="",#N/A,IF(INDEX(LOG_Calc!$A:$XFD,$B27,P$1)="",#N/A,INDEX(LOG_Calc!$A:$XFD,$B27,P$1)))</f>
        <v>#N/A</v>
      </c>
      <c r="Q27" s="19" t="e">
        <f>IF($B27="",#N/A,IF(INDEX(LOG_Calc!$A:$XFD,$B27,Q$1)="",#N/A,INDEX(LOG_Calc!$A:$XFD,$B27,Q$1)))</f>
        <v>#N/A</v>
      </c>
      <c r="R27" s="19" t="e">
        <f>IF($B27="",#N/A,IF(INDEX(LOG_Calc!$A:$XFD,$B27,R$1)="",#N/A,INDEX(LOG_Calc!$A:$XFD,$B27,R$1)))</f>
        <v>#N/A</v>
      </c>
      <c r="S27" s="19">
        <f>IF($C27="",#N/A,IF(INDEX(LOG_Calc!$A:$XFD,$C27,S$1)="",#N/A,INDEX(LOG_Calc!$A:$XFD,$C27,S$1)))</f>
        <v>1.0453229787866574</v>
      </c>
      <c r="T27" s="19">
        <f>IF($C27="",#N/A,IF(INDEX(LOG_Calc!$A:$XFD,$C27,T$1)="",#N/A,INDEX(LOG_Calc!$A:$XFD,$C27,T$1)))</f>
        <v>1.0453229787866574</v>
      </c>
      <c r="U27" s="19">
        <f>IF($C27="",#N/A,IF(INDEX(LOG_Calc!$A:$XFD,$C27,U$1)="",#N/A,INDEX(LOG_Calc!$A:$XFD,$C27,U$1)))</f>
        <v>1.0492180226701815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3:33" ht="12.75">
      <c r="C28" s="11">
        <f t="shared" si="7"/>
        <v>44</v>
      </c>
      <c r="E28" s="18">
        <f t="shared" si="8"/>
        <v>40873</v>
      </c>
      <c r="F28" s="51">
        <f t="shared" si="5"/>
        <v>260</v>
      </c>
      <c r="G28" s="19"/>
      <c r="H28" s="19"/>
      <c r="I28" s="19"/>
      <c r="J28" s="19"/>
      <c r="K28" s="19"/>
      <c r="L28" s="19"/>
      <c r="M28" s="19"/>
      <c r="N28" s="19"/>
      <c r="O28" s="19"/>
      <c r="P28" s="19" t="e">
        <f>IF($B28="",#N/A,IF(INDEX(LOG_Calc!$A:$XFD,$B28,P$1)="",#N/A,INDEX(LOG_Calc!$A:$XFD,$B28,P$1)))</f>
        <v>#N/A</v>
      </c>
      <c r="Q28" s="19" t="e">
        <f>IF($B28="",#N/A,IF(INDEX(LOG_Calc!$A:$XFD,$B28,Q$1)="",#N/A,INDEX(LOG_Calc!$A:$XFD,$B28,Q$1)))</f>
        <v>#N/A</v>
      </c>
      <c r="R28" s="19" t="e">
        <f>IF($B28="",#N/A,IF(INDEX(LOG_Calc!$A:$XFD,$B28,R$1)="",#N/A,INDEX(LOG_Calc!$A:$XFD,$B28,R$1)))</f>
        <v>#N/A</v>
      </c>
      <c r="S28" s="19">
        <f>IF($C28="",#N/A,IF(INDEX(LOG_Calc!$A:$XFD,$C28,S$1)="",#N/A,INDEX(LOG_Calc!$A:$XFD,$C28,S$1)))</f>
        <v>1.0530784434834197</v>
      </c>
      <c r="T28" s="19">
        <f>IF($C28="",#N/A,IF(INDEX(LOG_Calc!$A:$XFD,$C28,T$1)="",#N/A,INDEX(LOG_Calc!$A:$XFD,$C28,T$1)))</f>
        <v>1.0530784434834197</v>
      </c>
      <c r="U28" s="19">
        <f>IF($C28="",#N/A,IF(INDEX(LOG_Calc!$A:$XFD,$C28,U$1)="",#N/A,INDEX(LOG_Calc!$A:$XFD,$C28,U$1)))</f>
        <v>1.0569048513364727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3:33" ht="12.75">
      <c r="C29" s="11">
        <f t="shared" si="7"/>
        <v>45</v>
      </c>
      <c r="E29" s="18">
        <f t="shared" si="8"/>
        <v>40873</v>
      </c>
      <c r="F29" s="51">
        <f t="shared" si="5"/>
        <v>260</v>
      </c>
      <c r="G29" s="19"/>
      <c r="H29" s="19"/>
      <c r="I29" s="19"/>
      <c r="J29" s="19"/>
      <c r="K29" s="19"/>
      <c r="L29" s="19"/>
      <c r="M29" s="19"/>
      <c r="N29" s="19"/>
      <c r="O29" s="19"/>
      <c r="P29" s="19" t="e">
        <f>IF($B29="",#N/A,IF(INDEX(LOG_Calc!$A:$XFD,$B29,P$1)="",#N/A,INDEX(LOG_Calc!$A:$XFD,$B29,P$1)))</f>
        <v>#N/A</v>
      </c>
      <c r="Q29" s="19" t="e">
        <f>IF($B29="",#N/A,IF(INDEX(LOG_Calc!$A:$XFD,$B29,Q$1)="",#N/A,INDEX(LOG_Calc!$A:$XFD,$B29,Q$1)))</f>
        <v>#N/A</v>
      </c>
      <c r="R29" s="19" t="e">
        <f>IF($B29="",#N/A,IF(INDEX(LOG_Calc!$A:$XFD,$B29,R$1)="",#N/A,INDEX(LOG_Calc!$A:$XFD,$B29,R$1)))</f>
        <v>#N/A</v>
      </c>
      <c r="S29" s="19">
        <f>IF($C29="",#N/A,IF(INDEX(LOG_Calc!$A:$XFD,$C29,S$1)="",#N/A,INDEX(LOG_Calc!$A:$XFD,$C29,S$1)))</f>
        <v>1.0934216851622351</v>
      </c>
      <c r="T29" s="19">
        <f>IF($C29="",#N/A,IF(INDEX(LOG_Calc!$A:$XFD,$C29,T$1)="",#N/A,INDEX(LOG_Calc!$A:$XFD,$C29,T$1)))</f>
        <v>1.0969100130080565</v>
      </c>
      <c r="U29" s="19">
        <f>IF($C29="",#N/A,IF(INDEX(LOG_Calc!$A:$XFD,$C29,U$1)="",#N/A,INDEX(LOG_Calc!$A:$XFD,$C29,U$1)))</f>
        <v>1.110589710299249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3:33" ht="12.75">
      <c r="C30" s="11">
        <f t="shared" si="7"/>
        <v>46</v>
      </c>
      <c r="E30" s="18">
        <f t="shared" si="8"/>
        <v>40873</v>
      </c>
      <c r="F30" s="51">
        <f t="shared" si="5"/>
        <v>260</v>
      </c>
      <c r="G30" s="19"/>
      <c r="H30" s="19"/>
      <c r="I30" s="19"/>
      <c r="J30" s="19"/>
      <c r="K30" s="19"/>
      <c r="L30" s="19"/>
      <c r="M30" s="19"/>
      <c r="N30" s="19"/>
      <c r="O30" s="19"/>
      <c r="P30" s="19" t="e">
        <f>IF($B30="",#N/A,IF(INDEX(LOG_Calc!$A:$XFD,$B30,P$1)="",#N/A,INDEX(LOG_Calc!$A:$XFD,$B30,P$1)))</f>
        <v>#N/A</v>
      </c>
      <c r="Q30" s="19" t="e">
        <f>IF($B30="",#N/A,IF(INDEX(LOG_Calc!$A:$XFD,$B30,Q$1)="",#N/A,INDEX(LOG_Calc!$A:$XFD,$B30,Q$1)))</f>
        <v>#N/A</v>
      </c>
      <c r="R30" s="19" t="e">
        <f>IF($B30="",#N/A,IF(INDEX(LOG_Calc!$A:$XFD,$B30,R$1)="",#N/A,INDEX(LOG_Calc!$A:$XFD,$B30,R$1)))</f>
        <v>#N/A</v>
      </c>
      <c r="S30" s="19">
        <f>IF($C30="",#N/A,IF(INDEX(LOG_Calc!$A:$XFD,$C30,S$1)="",#N/A,INDEX(LOG_Calc!$A:$XFD,$C30,S$1)))</f>
        <v>1.0569048513364727</v>
      </c>
      <c r="T30" s="19">
        <f>IF($C30="",#N/A,IF(INDEX(LOG_Calc!$A:$XFD,$C30,T$1)="",#N/A,INDEX(LOG_Calc!$A:$XFD,$C30,T$1)))</f>
        <v>1.0606978403536116</v>
      </c>
      <c r="U30" s="19">
        <f>IF($C30="",#N/A,IF(INDEX(LOG_Calc!$A:$XFD,$C30,U$1)="",#N/A,INDEX(LOG_Calc!$A:$XFD,$C30,U$1)))</f>
        <v>1.1430148002540952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3:33" ht="12.75">
      <c r="C31" s="11">
        <f>C30+1</f>
        <v>47</v>
      </c>
      <c r="E31" s="18">
        <f>E30</f>
        <v>40873</v>
      </c>
      <c r="F31" s="51">
        <f t="shared" si="5"/>
        <v>260</v>
      </c>
      <c r="G31" s="19"/>
      <c r="H31" s="19"/>
      <c r="I31" s="19"/>
      <c r="J31" s="19"/>
      <c r="K31" s="19"/>
      <c r="L31" s="19"/>
      <c r="M31" s="19"/>
      <c r="N31" s="19"/>
      <c r="O31" s="19"/>
      <c r="P31" s="19" t="e">
        <f>IF($B31="",#N/A,IF(INDEX(LOG_Calc!$A:$XFD,$B31,P$1)="",#N/A,INDEX(LOG_Calc!$A:$XFD,$B31,P$1)))</f>
        <v>#N/A</v>
      </c>
      <c r="Q31" s="19" t="e">
        <f>IF($B31="",#N/A,IF(INDEX(LOG_Calc!$A:$XFD,$B31,Q$1)="",#N/A,INDEX(LOG_Calc!$A:$XFD,$B31,Q$1)))</f>
        <v>#N/A</v>
      </c>
      <c r="R31" s="19" t="e">
        <f>IF($B31="",#N/A,IF(INDEX(LOG_Calc!$A:$XFD,$B31,R$1)="",#N/A,INDEX(LOG_Calc!$A:$XFD,$B31,R$1)))</f>
        <v>#N/A</v>
      </c>
      <c r="S31" s="19">
        <f>IF($C31="",#N/A,IF(INDEX(LOG_Calc!$A:$XFD,$C31,S$1)="",#N/A,INDEX(LOG_Calc!$A:$XFD,$C31,S$1)))</f>
        <v>1.0293837776852097</v>
      </c>
      <c r="T31" s="19">
        <f>IF($C31="",#N/A,IF(INDEX(LOG_Calc!$A:$XFD,$C31,T$1)="",#N/A,INDEX(LOG_Calc!$A:$XFD,$C31,T$1)))</f>
        <v>1.0293837776852097</v>
      </c>
      <c r="U31" s="19">
        <f>IF($C31="",#N/A,IF(INDEX(LOG_Calc!$A:$XFD,$C31,U$1)="",#N/A,INDEX(LOG_Calc!$A:$XFD,$C31,U$1)))</f>
        <v>1.1818435879447726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5:33" ht="12.75"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11">
        <f>A11+1</f>
        <v>2</v>
      </c>
      <c r="B33" s="11">
        <v>11</v>
      </c>
      <c r="C33" s="11">
        <v>27</v>
      </c>
      <c r="D33" s="11">
        <f>D11</f>
        <v>9</v>
      </c>
      <c r="E33" s="18">
        <f>INDEX(Ave_Calc!$A:$XFD,$D33,E$1+($A33-1))</f>
        <v>40986</v>
      </c>
      <c r="F33" s="51">
        <f t="shared" si="5"/>
        <v>373</v>
      </c>
      <c r="G33" s="19">
        <f>IF(INDEX(Ave_Calc!$A:$XFD,G$2+G$3,G$1+($A33-1))="",#N/A,INDEX(Ave_Calc!$A:$XFD,G$2+G$3,G$1+($A33-1)))</f>
        <v>1.0452585029061086</v>
      </c>
      <c r="H33" s="19">
        <f>IF(INDEX(Ave_Calc!$A:$XFD,H$2+H$3,H$1+($A33-1))="",#N/A,INDEX(Ave_Calc!$A:$XFD,H$2+H$3,H$1+($A33-1)))</f>
        <v>1.0453636342741977</v>
      </c>
      <c r="I33" s="19">
        <f>IF(INDEX(Ave_Calc!$A:$XFD,I$2+I$3,I$1+($A33-1))="",#N/A,INDEX(Ave_Calc!$A:$XFD,I$2+I$3,I$1+($A33-1)))</f>
        <v>1.0466996654919742</v>
      </c>
      <c r="J33" s="19">
        <f>IF(INDEX(Ave_Calc!$A:$XFD,J$2+J$3,J$1+($A33-1))="",#N/A,INDEX(Ave_Calc!$A:$XFD,J$2+J$3,J$1+($A33-1)))</f>
        <v>0.999805534662786</v>
      </c>
      <c r="K33" s="19">
        <f>IF(INDEX(Ave_Calc!$A:$XFD,K$2+K$3,K$1+($A33-1))="",#N/A,INDEX(Ave_Calc!$A:$XFD,K$2+K$3,K$1+($A33-1)))</f>
        <v>0.9997220181119092</v>
      </c>
      <c r="L33" s="19">
        <f>IF(INDEX(Ave_Calc!$A:$XFD,L$2+L$3,L$1+($A33-1))="",#N/A,INDEX(Ave_Calc!$A:$XFD,L$2+L$3,L$1+($A33-1)))</f>
        <v>0.9998893835519896</v>
      </c>
      <c r="M33" s="19">
        <f>IF(INDEX(Ave_Calc!$A:$XFD,M$2+M$3,M$1+($A33-1))="",#N/A,INDEX(Ave_Calc!$A:$XFD,M$2+M$3,M$1+($A33-1)))</f>
        <v>1.0194608722815202</v>
      </c>
      <c r="N33" s="19">
        <f>IF(INDEX(Ave_Calc!$A:$XFD,N$2+N$3,N$1+($A33-1))="",#N/A,INDEX(Ave_Calc!$A:$XFD,N$2+N$3,N$1+($A33-1)))</f>
        <v>1.019458933209115</v>
      </c>
      <c r="O33" s="19">
        <f>IF(INDEX(Ave_Calc!$A:$XFD,O$2+O$3,O$1+($A33-1))="",#N/A,INDEX(Ave_Calc!$A:$XFD,O$2+O$3,O$1+($A33-1)))</f>
        <v>1.0201316676341452</v>
      </c>
      <c r="P33" s="19">
        <f>IF($B33="",#N/A,IF(INDEX(LOG_Calc!$A:$XFD,$B33,P$2)="",#N/A,INDEX(LOG_Calc!$A:$XFD,$B33,P$2)))</f>
        <v>1.0293837776852097</v>
      </c>
      <c r="Q33" s="19">
        <f>IF($B33="",#N/A,IF(INDEX(LOG_Calc!$A:$XFD,$B33,Q$2)="",#N/A,INDEX(LOG_Calc!$A:$XFD,$B33,Q$2)))</f>
        <v>1.0293837776852097</v>
      </c>
      <c r="R33" s="19">
        <f>IF($B33="",#N/A,IF(INDEX(LOG_Calc!$A:$XFD,$B33,R$2)="",#N/A,INDEX(LOG_Calc!$A:$XFD,$B33,R$2)))</f>
        <v>1.0293837776852097</v>
      </c>
      <c r="S33" s="19">
        <f>IF($C33="",#N/A,IF(INDEX(LOG_Calc!$A:$XFD,$C33,S$2)="",#N/A,INDEX(LOG_Calc!$A:$XFD,$C33,S$2)))</f>
        <v>1.0334237554869496</v>
      </c>
      <c r="T33" s="19">
        <f>IF($C33="",#N/A,IF(INDEX(LOG_Calc!$A:$XFD,$C33,T$2)="",#N/A,INDEX(LOG_Calc!$A:$XFD,$C33,T$2)))</f>
        <v>1.0334237554869496</v>
      </c>
      <c r="U33" s="19">
        <f>IF($C33="",#N/A,IF(INDEX(LOG_Calc!$A:$XFD,$C33,U$2)="",#N/A,INDEX(LOG_Calc!$A:$XFD,$C33,U$2)))</f>
        <v>1.0334237554869496</v>
      </c>
      <c r="V33" s="19" t="e">
        <f>IF(INDEX(LOG_Calc!$A:$XFD,V$2+V$3,V$1+($A33-1))="",#N/A,INDEX(LOG_Calc!$A:$XFD,V$2+V$3,V$1+($A33-1)))</f>
        <v>#N/A</v>
      </c>
      <c r="W33" s="19" t="e">
        <f>IF(INDEX(LOG_Calc!$A:$XFD,W$2+W$3,W$1+($A33-1))="",#N/A,INDEX(LOG_Calc!$A:$XFD,W$2+W$3,W$1+($A33-1)))</f>
        <v>#N/A</v>
      </c>
      <c r="X33" s="19" t="e">
        <f>IF(INDEX(LOG_Calc!$A:$XFD,X$2+X$3,X$1+($A33-1))="",#N/A,INDEX(LOG_Calc!$A:$XFD,X$2+X$3,X$1+($A33-1)))</f>
        <v>#N/A</v>
      </c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ht="12.75">
      <c r="B34" s="11">
        <f>B33+1</f>
        <v>12</v>
      </c>
      <c r="C34" s="11">
        <f>C33+1</f>
        <v>28</v>
      </c>
      <c r="E34" s="18">
        <f>E33</f>
        <v>40986</v>
      </c>
      <c r="F34" s="51">
        <f t="shared" si="5"/>
        <v>373</v>
      </c>
      <c r="G34" s="19"/>
      <c r="H34" s="19"/>
      <c r="I34" s="19"/>
      <c r="J34" s="19"/>
      <c r="K34" s="19"/>
      <c r="L34" s="19"/>
      <c r="M34" s="19"/>
      <c r="N34" s="19"/>
      <c r="O34" s="19"/>
      <c r="P34" s="19">
        <f>IF($B34="",#N/A,IF(INDEX(LOG_Calc!$A:$XFD,$B34,P$2)="",#N/A,INDEX(LOG_Calc!$A:$XFD,$B34,P$2)))</f>
        <v>1.0413926851582251</v>
      </c>
      <c r="Q34" s="19">
        <f>IF($B34="",#N/A,IF(INDEX(LOG_Calc!$A:$XFD,$B34,Q$2)="",#N/A,INDEX(LOG_Calc!$A:$XFD,$B34,Q$2)))</f>
        <v>1.0413926851582251</v>
      </c>
      <c r="R34" s="19">
        <f>IF($B34="",#N/A,IF(INDEX(LOG_Calc!$A:$XFD,$B34,R$2)="",#N/A,INDEX(LOG_Calc!$A:$XFD,$B34,R$2)))</f>
        <v>1.0413926851582251</v>
      </c>
      <c r="S34" s="19">
        <f>IF($C34="",#N/A,IF(INDEX(LOG_Calc!$A:$XFD,$C34,S$2)="",#N/A,INDEX(LOG_Calc!$A:$XFD,$C34,S$2)))</f>
        <v>1</v>
      </c>
      <c r="T34" s="19">
        <f>IF($C34="",#N/A,IF(INDEX(LOG_Calc!$A:$XFD,$C34,T$2)="",#N/A,INDEX(LOG_Calc!$A:$XFD,$C34,T$2)))</f>
        <v>1</v>
      </c>
      <c r="U34" s="19">
        <f>IF($C34="",#N/A,IF(INDEX(LOG_Calc!$A:$XFD,$C34,U$2)="",#N/A,INDEX(LOG_Calc!$A:$XFD,$C34,U$2)))</f>
        <v>1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 ht="12.75">
      <c r="B35" s="11">
        <f aca="true" t="shared" si="9" ref="B35:B48">B34+1</f>
        <v>13</v>
      </c>
      <c r="C35" s="11">
        <f aca="true" t="shared" si="10" ref="C35:C52">C34+1</f>
        <v>29</v>
      </c>
      <c r="E35" s="18">
        <f aca="true" t="shared" si="11" ref="E35:E52">E34</f>
        <v>40986</v>
      </c>
      <c r="F35" s="51">
        <f t="shared" si="5"/>
        <v>373</v>
      </c>
      <c r="G35" s="19"/>
      <c r="H35" s="19"/>
      <c r="I35" s="19"/>
      <c r="J35" s="19"/>
      <c r="K35" s="19"/>
      <c r="L35" s="19"/>
      <c r="M35" s="19"/>
      <c r="N35" s="19"/>
      <c r="O35" s="19"/>
      <c r="P35" s="19">
        <f>IF($B35="",#N/A,IF(INDEX(LOG_Calc!$A:$XFD,$B35,P$2)="",#N/A,INDEX(LOG_Calc!$A:$XFD,$B35,P$2)))</f>
        <v>1.0681858617461617</v>
      </c>
      <c r="Q35" s="19">
        <f>IF($B35="",#N/A,IF(INDEX(LOG_Calc!$A:$XFD,$B35,Q$2)="",#N/A,INDEX(LOG_Calc!$A:$XFD,$B35,Q$2)))</f>
        <v>1.0681858617461617</v>
      </c>
      <c r="R35" s="19">
        <f>IF($B35="",#N/A,IF(INDEX(LOG_Calc!$A:$XFD,$B35,R$2)="",#N/A,INDEX(LOG_Calc!$A:$XFD,$B35,R$2)))</f>
        <v>1.0718820073061255</v>
      </c>
      <c r="S35" s="19">
        <f>IF($C35="",#N/A,IF(INDEX(LOG_Calc!$A:$XFD,$C35,S$2)="",#N/A,INDEX(LOG_Calc!$A:$XFD,$C35,S$2)))</f>
        <v>1</v>
      </c>
      <c r="T35" s="19">
        <f>IF($C35="",#N/A,IF(INDEX(LOG_Calc!$A:$XFD,$C35,T$2)="",#N/A,INDEX(LOG_Calc!$A:$XFD,$C35,T$2)))</f>
        <v>1</v>
      </c>
      <c r="U35" s="19">
        <f>IF($C35="",#N/A,IF(INDEX(LOG_Calc!$A:$XFD,$C35,U$2)="",#N/A,INDEX(LOG_Calc!$A:$XFD,$C35,U$2)))</f>
        <v>1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ht="12.75">
      <c r="B36" s="11">
        <f t="shared" si="9"/>
        <v>14</v>
      </c>
      <c r="C36" s="11">
        <f t="shared" si="10"/>
        <v>30</v>
      </c>
      <c r="E36" s="18">
        <f t="shared" si="11"/>
        <v>40986</v>
      </c>
      <c r="F36" s="51">
        <f t="shared" si="5"/>
        <v>373</v>
      </c>
      <c r="G36" s="19"/>
      <c r="H36" s="19"/>
      <c r="I36" s="19"/>
      <c r="J36" s="19"/>
      <c r="K36" s="19"/>
      <c r="L36" s="19"/>
      <c r="M36" s="19"/>
      <c r="N36" s="19"/>
      <c r="O36" s="19"/>
      <c r="P36" s="19">
        <f>IF($B36="",#N/A,IF(INDEX(LOG_Calc!$A:$XFD,$B36,P$2)="",#N/A,INDEX(LOG_Calc!$A:$XFD,$B36,P$2)))</f>
        <v>1.0128372247051722</v>
      </c>
      <c r="Q36" s="19">
        <f>IF($B36="",#N/A,IF(INDEX(LOG_Calc!$A:$XFD,$B36,Q$2)="",#N/A,INDEX(LOG_Calc!$A:$XFD,$B36,Q$2)))</f>
        <v>1.0170333392987803</v>
      </c>
      <c r="R36" s="19">
        <f>IF($B36="",#N/A,IF(INDEX(LOG_Calc!$A:$XFD,$B36,R$2)="",#N/A,INDEX(LOG_Calc!$A:$XFD,$B36,R$2)))</f>
        <v>1.0170333392987803</v>
      </c>
      <c r="S36" s="19">
        <f>IF($C36="",#N/A,IF(INDEX(LOG_Calc!$A:$XFD,$C36,S$2)="",#N/A,INDEX(LOG_Calc!$A:$XFD,$C36,S$2)))</f>
        <v>1</v>
      </c>
      <c r="T36" s="19">
        <f>IF($C36="",#N/A,IF(INDEX(LOG_Calc!$A:$XFD,$C36,T$2)="",#N/A,INDEX(LOG_Calc!$A:$XFD,$C36,T$2)))</f>
        <v>1</v>
      </c>
      <c r="U36" s="19">
        <f>IF($C36="",#N/A,IF(INDEX(LOG_Calc!$A:$XFD,$C36,U$2)="",#N/A,INDEX(LOG_Calc!$A:$XFD,$C36,U$2)))</f>
        <v>1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2:33" ht="12.75">
      <c r="B37" s="11">
        <f t="shared" si="9"/>
        <v>15</v>
      </c>
      <c r="C37" s="11">
        <f t="shared" si="10"/>
        <v>31</v>
      </c>
      <c r="E37" s="18">
        <f t="shared" si="11"/>
        <v>40986</v>
      </c>
      <c r="F37" s="51">
        <f t="shared" si="5"/>
        <v>373</v>
      </c>
      <c r="G37" s="19"/>
      <c r="H37" s="19"/>
      <c r="I37" s="19"/>
      <c r="J37" s="19"/>
      <c r="K37" s="19"/>
      <c r="L37" s="19"/>
      <c r="M37" s="19"/>
      <c r="N37" s="19"/>
      <c r="O37" s="19"/>
      <c r="P37" s="19">
        <f>IF($B37="",#N/A,IF(INDEX(LOG_Calc!$A:$XFD,$B37,P$2)="",#N/A,INDEX(LOG_Calc!$A:$XFD,$B37,P$2)))</f>
        <v>1.0791812460476249</v>
      </c>
      <c r="Q37" s="19">
        <f>IF($B37="",#N/A,IF(INDEX(LOG_Calc!$A:$XFD,$B37,Q$2)="",#N/A,INDEX(LOG_Calc!$A:$XFD,$B37,Q$2)))</f>
        <v>1.0791812460476249</v>
      </c>
      <c r="R37" s="19">
        <f>IF($B37="",#N/A,IF(INDEX(LOG_Calc!$A:$XFD,$B37,R$2)="",#N/A,INDEX(LOG_Calc!$A:$XFD,$B37,R$2)))</f>
        <v>1.08278537031645</v>
      </c>
      <c r="S37" s="19">
        <f>IF($C37="",#N/A,IF(INDEX(LOG_Calc!$A:$XFD,$C37,S$2)="",#N/A,INDEX(LOG_Calc!$A:$XFD,$C37,S$2)))</f>
        <v>0.9943171526696367</v>
      </c>
      <c r="T37" s="19">
        <f>IF($C37="",#N/A,IF(INDEX(LOG_Calc!$A:$XFD,$C37,T$2)="",#N/A,INDEX(LOG_Calc!$A:$XFD,$C37,T$2)))</f>
        <v>0.9947569445876282</v>
      </c>
      <c r="U37" s="19">
        <f>IF($C37="",#N/A,IF(INDEX(LOG_Calc!$A:$XFD,$C37,U$2)="",#N/A,INDEX(LOG_Calc!$A:$XFD,$C37,U$2)))</f>
        <v>0.9951962915971795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33" ht="12.75">
      <c r="B38" s="11">
        <f t="shared" si="9"/>
        <v>16</v>
      </c>
      <c r="C38" s="11">
        <f t="shared" si="10"/>
        <v>32</v>
      </c>
      <c r="E38" s="18">
        <f t="shared" si="11"/>
        <v>40986</v>
      </c>
      <c r="F38" s="51">
        <f t="shared" si="5"/>
        <v>373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IF($B38="",#N/A,IF(INDEX(LOG_Calc!$A:$XFD,$B38,P$2)="",#N/A,INDEX(LOG_Calc!$A:$XFD,$B38,P$2)))</f>
        <v>1.089905111439398</v>
      </c>
      <c r="Q38" s="19">
        <f>IF($B38="",#N/A,IF(INDEX(LOG_Calc!$A:$XFD,$B38,Q$2)="",#N/A,INDEX(LOG_Calc!$A:$XFD,$B38,Q$2)))</f>
        <v>1.089905111439398</v>
      </c>
      <c r="R38" s="19">
        <f>IF($B38="",#N/A,IF(INDEX(LOG_Calc!$A:$XFD,$B38,R$2)="",#N/A,INDEX(LOG_Calc!$A:$XFD,$B38,R$2)))</f>
        <v>1.0934216851622351</v>
      </c>
      <c r="S38" s="19">
        <f>IF($C38="",#N/A,IF(INDEX(LOG_Calc!$A:$XFD,$C38,S$2)="",#N/A,INDEX(LOG_Calc!$A:$XFD,$C38,S$2)))</f>
        <v>0.9969492484953811</v>
      </c>
      <c r="T38" s="19">
        <f>IF($C38="",#N/A,IF(INDEX(LOG_Calc!$A:$XFD,$C38,T$2)="",#N/A,INDEX(LOG_Calc!$A:$XFD,$C38,T$2)))</f>
        <v>0.9965116721541787</v>
      </c>
      <c r="U38" s="19">
        <f>IF($C38="",#N/A,IF(INDEX(LOG_Calc!$A:$XFD,$C38,U$2)="",#N/A,INDEX(LOG_Calc!$A:$XFD,$C38,U$2)))</f>
        <v>0.9965116721541787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2:33" ht="12.75">
      <c r="B39" s="11">
        <f t="shared" si="9"/>
        <v>17</v>
      </c>
      <c r="C39" s="11">
        <f t="shared" si="10"/>
        <v>33</v>
      </c>
      <c r="E39" s="18">
        <f t="shared" si="11"/>
        <v>40986</v>
      </c>
      <c r="F39" s="51">
        <f t="shared" si="5"/>
        <v>373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IF($B39="",#N/A,IF(INDEX(LOG_Calc!$A:$XFD,$B39,P$2)="",#N/A,INDEX(LOG_Calc!$A:$XFD,$B39,P$2)))</f>
        <v>1.1271047983648077</v>
      </c>
      <c r="Q39" s="19">
        <f>IF($B39="",#N/A,IF(INDEX(LOG_Calc!$A:$XFD,$B39,Q$2)="",#N/A,INDEX(LOG_Calc!$A:$XFD,$B39,Q$2)))</f>
        <v>1.1271047983648077</v>
      </c>
      <c r="R39" s="19">
        <f>IF($B39="",#N/A,IF(INDEX(LOG_Calc!$A:$XFD,$B39,R$2)="",#N/A,INDEX(LOG_Calc!$A:$XFD,$B39,R$2)))</f>
        <v>1.130333768495006</v>
      </c>
      <c r="S39" s="19">
        <f>IF($C39="",#N/A,IF(INDEX(LOG_Calc!$A:$XFD,$C39,S$2)="",#N/A,INDEX(LOG_Calc!$A:$XFD,$C39,S$2)))</f>
        <v>0.9956351945975499</v>
      </c>
      <c r="T39" s="19">
        <f>IF($C39="",#N/A,IF(INDEX(LOG_Calc!$A:$XFD,$C39,T$2)="",#N/A,INDEX(LOG_Calc!$A:$XFD,$C39,T$2)))</f>
        <v>0.9943171526696367</v>
      </c>
      <c r="U39" s="19">
        <f>IF($C39="",#N/A,IF(INDEX(LOG_Calc!$A:$XFD,$C39,U$2)="",#N/A,INDEX(LOG_Calc!$A:$XFD,$C39,U$2)))</f>
        <v>0.9947569445876282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2:33" ht="12.75">
      <c r="B40" s="11">
        <f t="shared" si="9"/>
        <v>18</v>
      </c>
      <c r="C40" s="11">
        <f t="shared" si="10"/>
        <v>34</v>
      </c>
      <c r="E40" s="18">
        <f t="shared" si="11"/>
        <v>40986</v>
      </c>
      <c r="F40" s="51">
        <f t="shared" si="5"/>
        <v>373</v>
      </c>
      <c r="G40" s="19"/>
      <c r="H40" s="19"/>
      <c r="I40" s="19"/>
      <c r="J40" s="19"/>
      <c r="K40" s="19"/>
      <c r="L40" s="19"/>
      <c r="M40" s="19"/>
      <c r="N40" s="19"/>
      <c r="O40" s="19"/>
      <c r="P40" s="19">
        <f>IF($B40="",#N/A,IF(INDEX(LOG_Calc!$A:$XFD,$B40,P$2)="",#N/A,INDEX(LOG_Calc!$A:$XFD,$B40,P$2)))</f>
        <v>1.1205739312058498</v>
      </c>
      <c r="Q40" s="19">
        <f>IF($B40="",#N/A,IF(INDEX(LOG_Calc!$A:$XFD,$B40,Q$2)="",#N/A,INDEX(LOG_Calc!$A:$XFD,$B40,Q$2)))</f>
        <v>1.1139433523068367</v>
      </c>
      <c r="R40" s="19">
        <f>IF($B40="",#N/A,IF(INDEX(LOG_Calc!$A:$XFD,$B40,R$2)="",#N/A,INDEX(LOG_Calc!$A:$XFD,$B40,R$2)))</f>
        <v>1.1172712956557642</v>
      </c>
      <c r="S40" s="19">
        <f>IF($C40="",#N/A,IF(INDEX(LOG_Calc!$A:$XFD,$C40,S$2)="",#N/A,INDEX(LOG_Calc!$A:$XFD,$C40,S$2)))</f>
        <v>0.9960736544852753</v>
      </c>
      <c r="T40" s="19">
        <f>IF($C40="",#N/A,IF(INDEX(LOG_Calc!$A:$XFD,$C40,T$2)="",#N/A,INDEX(LOG_Calc!$A:$XFD,$C40,T$2)))</f>
        <v>0.9956351945975499</v>
      </c>
      <c r="U40" s="19">
        <f>IF($C40="",#N/A,IF(INDEX(LOG_Calc!$A:$XFD,$C40,U$2)="",#N/A,INDEX(LOG_Calc!$A:$XFD,$C40,U$2)))</f>
        <v>0.9982593384236987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2:33" ht="12.75">
      <c r="B41" s="11">
        <f t="shared" si="9"/>
        <v>19</v>
      </c>
      <c r="C41" s="11">
        <f t="shared" si="10"/>
        <v>35</v>
      </c>
      <c r="E41" s="18">
        <f t="shared" si="11"/>
        <v>40986</v>
      </c>
      <c r="F41" s="51">
        <f t="shared" si="5"/>
        <v>373</v>
      </c>
      <c r="G41" s="19"/>
      <c r="H41" s="19"/>
      <c r="I41" s="19"/>
      <c r="J41" s="19"/>
      <c r="K41" s="19"/>
      <c r="L41" s="19"/>
      <c r="M41" s="19"/>
      <c r="N41" s="19"/>
      <c r="O41" s="19"/>
      <c r="P41" s="19">
        <f>IF($B41="",#N/A,IF(INDEX(LOG_Calc!$A:$XFD,$B41,P$2)="",#N/A,INDEX(LOG_Calc!$A:$XFD,$B41,P$2)))</f>
        <v>1.021189299069938</v>
      </c>
      <c r="Q41" s="19">
        <f>IF($B41="",#N/A,IF(INDEX(LOG_Calc!$A:$XFD,$B41,Q$2)="",#N/A,INDEX(LOG_Calc!$A:$XFD,$B41,Q$2)))</f>
        <v>1.021189299069938</v>
      </c>
      <c r="R41" s="19">
        <f>IF($B41="",#N/A,IF(INDEX(LOG_Calc!$A:$XFD,$B41,R$2)="",#N/A,INDEX(LOG_Calc!$A:$XFD,$B41,R$2)))</f>
        <v>1.021189299069938</v>
      </c>
      <c r="S41" s="19">
        <f>IF($C41="",#N/A,IF(INDEX(LOG_Calc!$A:$XFD,$C41,S$2)="",#N/A,INDEX(LOG_Calc!$A:$XFD,$C41,S$2)))</f>
        <v>0.9965116721541787</v>
      </c>
      <c r="T41" s="19">
        <f>IF($C41="",#N/A,IF(INDEX(LOG_Calc!$A:$XFD,$C41,T$2)="",#N/A,INDEX(LOG_Calc!$A:$XFD,$C41,T$2)))</f>
        <v>0.9965116721541787</v>
      </c>
      <c r="U41" s="19">
        <f>IF($C41="",#N/A,IF(INDEX(LOG_Calc!$A:$XFD,$C41,U$2)="",#N/A,INDEX(LOG_Calc!$A:$XFD,$C41,U$2)))</f>
        <v>0.9969492484953811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2:33" ht="12.75">
      <c r="B42" s="11">
        <f t="shared" si="9"/>
        <v>20</v>
      </c>
      <c r="C42" s="11">
        <f t="shared" si="10"/>
        <v>36</v>
      </c>
      <c r="E42" s="18">
        <f t="shared" si="11"/>
        <v>40986</v>
      </c>
      <c r="F42" s="51">
        <f t="shared" si="5"/>
        <v>373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>IF($B42="",#N/A,IF(INDEX(LOG_Calc!$A:$XFD,$B42,P$2)="",#N/A,INDEX(LOG_Calc!$A:$XFD,$B42,P$2)))</f>
        <v>1.021189299069938</v>
      </c>
      <c r="Q42" s="19">
        <f>IF($B42="",#N/A,IF(INDEX(LOG_Calc!$A:$XFD,$B42,Q$2)="",#N/A,INDEX(LOG_Calc!$A:$XFD,$B42,Q$2)))</f>
        <v>1.0253058652647702</v>
      </c>
      <c r="R42" s="19">
        <f>IF($B42="",#N/A,IF(INDEX(LOG_Calc!$A:$XFD,$B42,R$2)="",#N/A,INDEX(LOG_Calc!$A:$XFD,$B42,R$2)))</f>
        <v>1.0253058652647702</v>
      </c>
      <c r="S42" s="19">
        <f>IF($C42="",#N/A,IF(INDEX(LOG_Calc!$A:$XFD,$C42,S$2)="",#N/A,INDEX(LOG_Calc!$A:$XFD,$C42,S$2)))</f>
        <v>0.9965116721541787</v>
      </c>
      <c r="T42" s="19">
        <f>IF($C42="",#N/A,IF(INDEX(LOG_Calc!$A:$XFD,$C42,T$2)="",#N/A,INDEX(LOG_Calc!$A:$XFD,$C42,T$2)))</f>
        <v>0.9965116721541787</v>
      </c>
      <c r="U42" s="19">
        <f>IF($C42="",#N/A,IF(INDEX(LOG_Calc!$A:$XFD,$C42,U$2)="",#N/A,INDEX(LOG_Calc!$A:$XFD,$C42,U$2)))</f>
        <v>0.9969492484953811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2:33" ht="12.75">
      <c r="B43" s="11">
        <f t="shared" si="9"/>
        <v>21</v>
      </c>
      <c r="C43" s="11">
        <f t="shared" si="10"/>
        <v>37</v>
      </c>
      <c r="E43" s="18">
        <f t="shared" si="11"/>
        <v>40986</v>
      </c>
      <c r="F43" s="51">
        <f t="shared" si="5"/>
        <v>373</v>
      </c>
      <c r="G43" s="19"/>
      <c r="H43" s="19"/>
      <c r="I43" s="19"/>
      <c r="J43" s="19"/>
      <c r="K43" s="19"/>
      <c r="L43" s="19"/>
      <c r="M43" s="19"/>
      <c r="N43" s="19"/>
      <c r="O43" s="19"/>
      <c r="P43" s="19">
        <f>IF($B43="",#N/A,IF(INDEX(LOG_Calc!$A:$XFD,$B43,P$2)="",#N/A,INDEX(LOG_Calc!$A:$XFD,$B43,P$2)))</f>
        <v>1.0086001717619175</v>
      </c>
      <c r="Q43" s="19">
        <f>IF($B43="",#N/A,IF(INDEX(LOG_Calc!$A:$XFD,$B43,Q$2)="",#N/A,INDEX(LOG_Calc!$A:$XFD,$B43,Q$2)))</f>
        <v>1.0086001717619175</v>
      </c>
      <c r="R43" s="19">
        <f>IF($B43="",#N/A,IF(INDEX(LOG_Calc!$A:$XFD,$B43,R$2)="",#N/A,INDEX(LOG_Calc!$A:$XFD,$B43,R$2)))</f>
        <v>1.0086001717619175</v>
      </c>
      <c r="S43" s="19">
        <f>IF($C43="",#N/A,IF(INDEX(LOG_Calc!$A:$XFD,$C43,S$2)="",#N/A,INDEX(LOG_Calc!$A:$XFD,$C43,S$2)))</f>
        <v>1</v>
      </c>
      <c r="T43" s="19">
        <f>IF($C43="",#N/A,IF(INDEX(LOG_Calc!$A:$XFD,$C43,T$2)="",#N/A,INDEX(LOG_Calc!$A:$XFD,$C43,T$2)))</f>
        <v>1</v>
      </c>
      <c r="U43" s="19">
        <f>IF($C43="",#N/A,IF(INDEX(LOG_Calc!$A:$XFD,$C43,U$2)="",#N/A,INDEX(LOG_Calc!$A:$XFD,$C43,U$2)))</f>
        <v>1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2:33" ht="12.75">
      <c r="B44" s="11">
        <f t="shared" si="9"/>
        <v>22</v>
      </c>
      <c r="C44" s="11">
        <f t="shared" si="10"/>
        <v>38</v>
      </c>
      <c r="E44" s="18">
        <f t="shared" si="11"/>
        <v>40986</v>
      </c>
      <c r="F44" s="51">
        <f t="shared" si="5"/>
        <v>373</v>
      </c>
      <c r="G44" s="19"/>
      <c r="H44" s="19"/>
      <c r="I44" s="19"/>
      <c r="J44" s="19"/>
      <c r="K44" s="19"/>
      <c r="L44" s="19"/>
      <c r="M44" s="19"/>
      <c r="N44" s="19"/>
      <c r="O44" s="19"/>
      <c r="P44" s="19">
        <f>IF($B44="",#N/A,IF(INDEX(LOG_Calc!$A:$XFD,$B44,P$2)="",#N/A,INDEX(LOG_Calc!$A:$XFD,$B44,P$2)))</f>
        <v>1.0043213737826426</v>
      </c>
      <c r="Q44" s="19">
        <f>IF($B44="",#N/A,IF(INDEX(LOG_Calc!$A:$XFD,$B44,Q$2)="",#N/A,INDEX(LOG_Calc!$A:$XFD,$B44,Q$2)))</f>
        <v>1.0043213737826426</v>
      </c>
      <c r="R44" s="19">
        <f>IF($B44="",#N/A,IF(INDEX(LOG_Calc!$A:$XFD,$B44,R$2)="",#N/A,INDEX(LOG_Calc!$A:$XFD,$B44,R$2)))</f>
        <v>1.0043213737826426</v>
      </c>
      <c r="S44" s="19">
        <f>IF($C44="",#N/A,IF(INDEX(LOG_Calc!$A:$XFD,$C44,S$2)="",#N/A,INDEX(LOG_Calc!$A:$XFD,$C44,S$2)))</f>
        <v>0.9991305412873711</v>
      </c>
      <c r="T44" s="19">
        <f>IF($C44="",#N/A,IF(INDEX(LOG_Calc!$A:$XFD,$C44,T$2)="",#N/A,INDEX(LOG_Calc!$A:$XFD,$C44,T$2)))</f>
        <v>0.9991305412873711</v>
      </c>
      <c r="U44" s="19">
        <f>IF($C44="",#N/A,IF(INDEX(LOG_Calc!$A:$XFD,$C44,U$2)="",#N/A,INDEX(LOG_Calc!$A:$XFD,$C44,U$2)))</f>
        <v>0.9995654882259823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2:33" ht="12.75">
      <c r="B45" s="11">
        <f t="shared" si="9"/>
        <v>23</v>
      </c>
      <c r="C45" s="11">
        <f t="shared" si="10"/>
        <v>39</v>
      </c>
      <c r="E45" s="18">
        <f t="shared" si="11"/>
        <v>40986</v>
      </c>
      <c r="F45" s="51">
        <f t="shared" si="5"/>
        <v>373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IF($B45="",#N/A,IF(INDEX(LOG_Calc!$A:$XFD,$B45,P$2)="",#N/A,INDEX(LOG_Calc!$A:$XFD,$B45,P$2)))</f>
        <v>1</v>
      </c>
      <c r="Q45" s="19">
        <f>IF($B45="",#N/A,IF(INDEX(LOG_Calc!$A:$XFD,$B45,Q$2)="",#N/A,INDEX(LOG_Calc!$A:$XFD,$B45,Q$2)))</f>
        <v>1</v>
      </c>
      <c r="R45" s="19">
        <f>IF($B45="",#N/A,IF(INDEX(LOG_Calc!$A:$XFD,$B45,R$2)="",#N/A,INDEX(LOG_Calc!$A:$XFD,$B45,R$2)))</f>
        <v>1</v>
      </c>
      <c r="S45" s="19">
        <f>IF($C45="",#N/A,IF(INDEX(LOG_Calc!$A:$XFD,$C45,S$2)="",#N/A,INDEX(LOG_Calc!$A:$XFD,$C45,S$2)))</f>
        <v>0.9973863843973133</v>
      </c>
      <c r="T45" s="19">
        <f>IF($C45="",#N/A,IF(INDEX(LOG_Calc!$A:$XFD,$C45,T$2)="",#N/A,INDEX(LOG_Calc!$A:$XFD,$C45,T$2)))</f>
        <v>0.9978230807457255</v>
      </c>
      <c r="U45" s="19">
        <f>IF($C45="",#N/A,IF(INDEX(LOG_Calc!$A:$XFD,$C45,U$2)="",#N/A,INDEX(LOG_Calc!$A:$XFD,$C45,U$2)))</f>
        <v>0.9986951583116558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2:33" ht="12.75">
      <c r="B46" s="11">
        <f t="shared" si="9"/>
        <v>24</v>
      </c>
      <c r="C46" s="11">
        <f t="shared" si="10"/>
        <v>40</v>
      </c>
      <c r="E46" s="18">
        <f t="shared" si="11"/>
        <v>40986</v>
      </c>
      <c r="F46" s="51">
        <f t="shared" si="5"/>
        <v>373</v>
      </c>
      <c r="G46" s="19"/>
      <c r="H46" s="19"/>
      <c r="I46" s="19"/>
      <c r="J46" s="19"/>
      <c r="K46" s="19"/>
      <c r="L46" s="19"/>
      <c r="M46" s="19"/>
      <c r="N46" s="19"/>
      <c r="O46" s="19"/>
      <c r="P46" s="19">
        <f>IF($B46="",#N/A,IF(INDEX(LOG_Calc!$A:$XFD,$B46,P$2)="",#N/A,INDEX(LOG_Calc!$A:$XFD,$B46,P$2)))</f>
        <v>1.0334237554869496</v>
      </c>
      <c r="Q46" s="19">
        <f>IF($B46="",#N/A,IF(INDEX(LOG_Calc!$A:$XFD,$B46,Q$2)="",#N/A,INDEX(LOG_Calc!$A:$XFD,$B46,Q$2)))</f>
        <v>1.0334237554869496</v>
      </c>
      <c r="R46" s="19">
        <f>IF($B46="",#N/A,IF(INDEX(LOG_Calc!$A:$XFD,$B46,R$2)="",#N/A,INDEX(LOG_Calc!$A:$XFD,$B46,R$2)))</f>
        <v>1.0374264979406236</v>
      </c>
      <c r="S46" s="19">
        <f>IF($C46="",#N/A,IF(INDEX(LOG_Calc!$A:$XFD,$C46,S$2)="",#N/A,INDEX(LOG_Calc!$A:$XFD,$C46,S$2)))</f>
        <v>0.9956351945975499</v>
      </c>
      <c r="T46" s="19">
        <f>IF($C46="",#N/A,IF(INDEX(LOG_Calc!$A:$XFD,$C46,T$2)="",#N/A,INDEX(LOG_Calc!$A:$XFD,$C46,T$2)))</f>
        <v>0.9956351945975499</v>
      </c>
      <c r="U46" s="19">
        <f>IF($C46="",#N/A,IF(INDEX(LOG_Calc!$A:$XFD,$C46,U$2)="",#N/A,INDEX(LOG_Calc!$A:$XFD,$C46,U$2)))</f>
        <v>0.9960736544852753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2:33" ht="12.75">
      <c r="B47" s="11">
        <f t="shared" si="9"/>
        <v>25</v>
      </c>
      <c r="C47" s="11">
        <f t="shared" si="10"/>
        <v>41</v>
      </c>
      <c r="E47" s="18">
        <f t="shared" si="11"/>
        <v>40986</v>
      </c>
      <c r="F47" s="51">
        <f t="shared" si="5"/>
        <v>373</v>
      </c>
      <c r="G47" s="19"/>
      <c r="H47" s="19"/>
      <c r="I47" s="19"/>
      <c r="J47" s="19"/>
      <c r="K47" s="19"/>
      <c r="L47" s="19"/>
      <c r="M47" s="19"/>
      <c r="N47" s="19"/>
      <c r="O47" s="19"/>
      <c r="P47" s="19">
        <f>IF($B47="",#N/A,IF(INDEX(LOG_Calc!$A:$XFD,$B47,P$2)="",#N/A,INDEX(LOG_Calc!$A:$XFD,$B47,P$2)))</f>
        <v>1.0334237554869496</v>
      </c>
      <c r="Q47" s="19">
        <f>IF($B47="",#N/A,IF(INDEX(LOG_Calc!$A:$XFD,$B47,Q$2)="",#N/A,INDEX(LOG_Calc!$A:$XFD,$B47,Q$2)))</f>
        <v>1.0334237554869496</v>
      </c>
      <c r="R47" s="19">
        <f>IF($B47="",#N/A,IF(INDEX(LOG_Calc!$A:$XFD,$B47,R$2)="",#N/A,INDEX(LOG_Calc!$A:$XFD,$B47,R$2)))</f>
        <v>1.0334237554869496</v>
      </c>
      <c r="S47" s="19">
        <f>IF($C47="",#N/A,IF(INDEX(LOG_Calc!$A:$XFD,$C47,S$2)="",#N/A,INDEX(LOG_Calc!$A:$XFD,$C47,S$2)))</f>
        <v>0.9978230807457255</v>
      </c>
      <c r="T47" s="19">
        <f>IF($C47="",#N/A,IF(INDEX(LOG_Calc!$A:$XFD,$C47,T$2)="",#N/A,INDEX(LOG_Calc!$A:$XFD,$C47,T$2)))</f>
        <v>0.9978230807457255</v>
      </c>
      <c r="U47" s="19">
        <f>IF($C47="",#N/A,IF(INDEX(LOG_Calc!$A:$XFD,$C47,U$2)="",#N/A,INDEX(LOG_Calc!$A:$XFD,$C47,U$2)))</f>
        <v>0.9982593384236987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2:33" ht="12.75">
      <c r="B48" s="11">
        <f t="shared" si="9"/>
        <v>26</v>
      </c>
      <c r="C48" s="11">
        <f t="shared" si="10"/>
        <v>42</v>
      </c>
      <c r="E48" s="18">
        <f t="shared" si="11"/>
        <v>40986</v>
      </c>
      <c r="F48" s="51">
        <f t="shared" si="5"/>
        <v>373</v>
      </c>
      <c r="G48" s="19"/>
      <c r="H48" s="19"/>
      <c r="I48" s="19"/>
      <c r="J48" s="19"/>
      <c r="K48" s="19"/>
      <c r="L48" s="19"/>
      <c r="M48" s="19"/>
      <c r="N48" s="19"/>
      <c r="O48" s="19"/>
      <c r="P48" s="19">
        <f>IF($B48="",#N/A,IF(INDEX(LOG_Calc!$A:$XFD,$B48,P$2)="",#N/A,INDEX(LOG_Calc!$A:$XFD,$B48,P$2)))</f>
        <v>1.0334237554869496</v>
      </c>
      <c r="Q48" s="19">
        <f>IF($B48="",#N/A,IF(INDEX(LOG_Calc!$A:$XFD,$B48,Q$2)="",#N/A,INDEX(LOG_Calc!$A:$XFD,$B48,Q$2)))</f>
        <v>1.0334237554869496</v>
      </c>
      <c r="R48" s="19">
        <f>IF($B48="",#N/A,IF(INDEX(LOG_Calc!$A:$XFD,$B48,R$2)="",#N/A,INDEX(LOG_Calc!$A:$XFD,$B48,R$2)))</f>
        <v>1.0334237554869496</v>
      </c>
      <c r="S48" s="19">
        <f>IF($C48="",#N/A,IF(INDEX(LOG_Calc!$A:$XFD,$C48,S$2)="",#N/A,INDEX(LOG_Calc!$A:$XFD,$C48,S$2)))</f>
        <v>0.9982593384236987</v>
      </c>
      <c r="T48" s="19">
        <f>IF($C48="",#N/A,IF(INDEX(LOG_Calc!$A:$XFD,$C48,T$2)="",#N/A,INDEX(LOG_Calc!$A:$XFD,$C48,T$2)))</f>
        <v>0.9978230807457255</v>
      </c>
      <c r="U48" s="19">
        <f>IF($C48="",#N/A,IF(INDEX(LOG_Calc!$A:$XFD,$C48,U$2)="",#N/A,INDEX(LOG_Calc!$A:$XFD,$C48,U$2)))</f>
        <v>0.9982593384236987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3:33" ht="12.75">
      <c r="C49" s="11">
        <f t="shared" si="10"/>
        <v>43</v>
      </c>
      <c r="E49" s="18">
        <f t="shared" si="11"/>
        <v>40986</v>
      </c>
      <c r="F49" s="51">
        <f t="shared" si="5"/>
        <v>373</v>
      </c>
      <c r="G49" s="19"/>
      <c r="H49" s="19"/>
      <c r="I49" s="19"/>
      <c r="J49" s="19"/>
      <c r="K49" s="19"/>
      <c r="L49" s="19"/>
      <c r="M49" s="19"/>
      <c r="N49" s="19"/>
      <c r="O49" s="19"/>
      <c r="P49" s="19" t="e">
        <f>IF($B49="",#N/A,IF(INDEX(LOG_Calc!$A:$XFD,$B49,P$2)="",#N/A,INDEX(LOG_Calc!$A:$XFD,$B49,P$2)))</f>
        <v>#N/A</v>
      </c>
      <c r="Q49" s="19" t="e">
        <f>IF($B49="",#N/A,IF(INDEX(LOG_Calc!$A:$XFD,$B49,Q$2)="",#N/A,INDEX(LOG_Calc!$A:$XFD,$B49,Q$2)))</f>
        <v>#N/A</v>
      </c>
      <c r="R49" s="19" t="e">
        <f>IF($B49="",#N/A,IF(INDEX(LOG_Calc!$A:$XFD,$B49,R$2)="",#N/A,INDEX(LOG_Calc!$A:$XFD,$B49,R$2)))</f>
        <v>#N/A</v>
      </c>
      <c r="S49" s="19">
        <f>IF($C49="",#N/A,IF(INDEX(LOG_Calc!$A:$XFD,$C49,S$2)="",#N/A,INDEX(LOG_Calc!$A:$XFD,$C49,S$2)))</f>
        <v>1</v>
      </c>
      <c r="T49" s="19">
        <f>IF($C49="",#N/A,IF(INDEX(LOG_Calc!$A:$XFD,$C49,T$2)="",#N/A,INDEX(LOG_Calc!$A:$XFD,$C49,T$2)))</f>
        <v>1</v>
      </c>
      <c r="U49" s="19">
        <f>IF($C49="",#N/A,IF(INDEX(LOG_Calc!$A:$XFD,$C49,U$2)="",#N/A,INDEX(LOG_Calc!$A:$XFD,$C49,U$2)))</f>
        <v>0.9986951583116558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3:33" ht="12.75">
      <c r="C50" s="11">
        <f t="shared" si="10"/>
        <v>44</v>
      </c>
      <c r="E50" s="18">
        <f t="shared" si="11"/>
        <v>40986</v>
      </c>
      <c r="F50" s="51">
        <f t="shared" si="5"/>
        <v>373</v>
      </c>
      <c r="G50" s="19"/>
      <c r="H50" s="19"/>
      <c r="I50" s="19"/>
      <c r="J50" s="19"/>
      <c r="K50" s="19"/>
      <c r="L50" s="19"/>
      <c r="M50" s="19"/>
      <c r="N50" s="19"/>
      <c r="O50" s="19"/>
      <c r="P50" s="19" t="e">
        <f>IF($B50="",#N/A,IF(INDEX(LOG_Calc!$A:$XFD,$B50,P$2)="",#N/A,INDEX(LOG_Calc!$A:$XFD,$B50,P$2)))</f>
        <v>#N/A</v>
      </c>
      <c r="Q50" s="19" t="e">
        <f>IF($B50="",#N/A,IF(INDEX(LOG_Calc!$A:$XFD,$B50,Q$2)="",#N/A,INDEX(LOG_Calc!$A:$XFD,$B50,Q$2)))</f>
        <v>#N/A</v>
      </c>
      <c r="R50" s="19" t="e">
        <f>IF($B50="",#N/A,IF(INDEX(LOG_Calc!$A:$XFD,$B50,R$2)="",#N/A,INDEX(LOG_Calc!$A:$XFD,$B50,R$2)))</f>
        <v>#N/A</v>
      </c>
      <c r="S50" s="19">
        <f>IF($C50="",#N/A,IF(INDEX(LOG_Calc!$A:$XFD,$C50,S$2)="",#N/A,INDEX(LOG_Calc!$A:$XFD,$C50,S$2)))</f>
        <v>1</v>
      </c>
      <c r="T50" s="19">
        <f>IF($C50="",#N/A,IF(INDEX(LOG_Calc!$A:$XFD,$C50,T$2)="",#N/A,INDEX(LOG_Calc!$A:$XFD,$C50,T$2)))</f>
        <v>1</v>
      </c>
      <c r="U50" s="19">
        <f>IF($C50="",#N/A,IF(INDEX(LOG_Calc!$A:$XFD,$C50,U$2)="",#N/A,INDEX(LOG_Calc!$A:$XFD,$C50,U$2)))</f>
        <v>1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3:33" ht="12.75">
      <c r="C51" s="11">
        <f t="shared" si="10"/>
        <v>45</v>
      </c>
      <c r="E51" s="18">
        <f t="shared" si="11"/>
        <v>40986</v>
      </c>
      <c r="F51" s="51">
        <f t="shared" si="5"/>
        <v>373</v>
      </c>
      <c r="G51" s="19"/>
      <c r="H51" s="19"/>
      <c r="I51" s="19"/>
      <c r="J51" s="19"/>
      <c r="K51" s="19"/>
      <c r="L51" s="19"/>
      <c r="M51" s="19"/>
      <c r="N51" s="19"/>
      <c r="O51" s="19"/>
      <c r="P51" s="19" t="e">
        <f>IF($B51="",#N/A,IF(INDEX(LOG_Calc!$A:$XFD,$B51,P$2)="",#N/A,INDEX(LOG_Calc!$A:$XFD,$B51,P$2)))</f>
        <v>#N/A</v>
      </c>
      <c r="Q51" s="19" t="e">
        <f>IF($B51="",#N/A,IF(INDEX(LOG_Calc!$A:$XFD,$B51,Q$2)="",#N/A,INDEX(LOG_Calc!$A:$XFD,$B51,Q$2)))</f>
        <v>#N/A</v>
      </c>
      <c r="R51" s="19" t="e">
        <f>IF($B51="",#N/A,IF(INDEX(LOG_Calc!$A:$XFD,$B51,R$2)="",#N/A,INDEX(LOG_Calc!$A:$XFD,$B51,R$2)))</f>
        <v>#N/A</v>
      </c>
      <c r="S51" s="19">
        <f>IF($C51="",#N/A,IF(INDEX(LOG_Calc!$A:$XFD,$C51,S$2)="",#N/A,INDEX(LOG_Calc!$A:$XFD,$C51,S$2)))</f>
        <v>1</v>
      </c>
      <c r="T51" s="19">
        <f>IF($C51="",#N/A,IF(INDEX(LOG_Calc!$A:$XFD,$C51,T$2)="",#N/A,INDEX(LOG_Calc!$A:$XFD,$C51,T$2)))</f>
        <v>1</v>
      </c>
      <c r="U51" s="19">
        <f>IF($C51="",#N/A,IF(INDEX(LOG_Calc!$A:$XFD,$C51,U$2)="",#N/A,INDEX(LOG_Calc!$A:$XFD,$C51,U$2)))</f>
        <v>1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3:33" ht="12.75">
      <c r="C52" s="11">
        <f t="shared" si="10"/>
        <v>46</v>
      </c>
      <c r="E52" s="18">
        <f t="shared" si="11"/>
        <v>40986</v>
      </c>
      <c r="F52" s="51">
        <f t="shared" si="5"/>
        <v>373</v>
      </c>
      <c r="G52" s="19"/>
      <c r="H52" s="19"/>
      <c r="I52" s="19"/>
      <c r="J52" s="19"/>
      <c r="K52" s="19"/>
      <c r="L52" s="19"/>
      <c r="M52" s="19"/>
      <c r="N52" s="19"/>
      <c r="O52" s="19"/>
      <c r="P52" s="19" t="e">
        <f>IF($B52="",#N/A,IF(INDEX(LOG_Calc!$A:$XFD,$B52,P$2)="",#N/A,INDEX(LOG_Calc!$A:$XFD,$B52,P$2)))</f>
        <v>#N/A</v>
      </c>
      <c r="Q52" s="19" t="e">
        <f>IF($B52="",#N/A,IF(INDEX(LOG_Calc!$A:$XFD,$B52,Q$2)="",#N/A,INDEX(LOG_Calc!$A:$XFD,$B52,Q$2)))</f>
        <v>#N/A</v>
      </c>
      <c r="R52" s="19" t="e">
        <f>IF($B52="",#N/A,IF(INDEX(LOG_Calc!$A:$XFD,$B52,R$2)="",#N/A,INDEX(LOG_Calc!$A:$XFD,$B52,R$2)))</f>
        <v>#N/A</v>
      </c>
      <c r="S52" s="19">
        <f>IF($C52="",#N/A,IF(INDEX(LOG_Calc!$A:$XFD,$C52,S$2)="",#N/A,INDEX(LOG_Calc!$A:$XFD,$C52,S$2)))</f>
        <v>1</v>
      </c>
      <c r="T52" s="19">
        <f>IF($C52="",#N/A,IF(INDEX(LOG_Calc!$A:$XFD,$C52,T$2)="",#N/A,INDEX(LOG_Calc!$A:$XFD,$C52,T$2)))</f>
        <v>1</v>
      </c>
      <c r="U52" s="19">
        <f>IF($C52="",#N/A,IF(INDEX(LOG_Calc!$A:$XFD,$C52,U$2)="",#N/A,INDEX(LOG_Calc!$A:$XFD,$C52,U$2)))</f>
        <v>0.9982593384236987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3:33" ht="12.75">
      <c r="C53" s="11">
        <f>C52+1</f>
        <v>47</v>
      </c>
      <c r="E53" s="18">
        <f>E52</f>
        <v>40986</v>
      </c>
      <c r="F53" s="51">
        <f t="shared" si="5"/>
        <v>373</v>
      </c>
      <c r="G53" s="19"/>
      <c r="H53" s="19"/>
      <c r="I53" s="19"/>
      <c r="J53" s="19"/>
      <c r="K53" s="19"/>
      <c r="L53" s="19"/>
      <c r="M53" s="19"/>
      <c r="N53" s="19"/>
      <c r="O53" s="19"/>
      <c r="P53" s="19" t="e">
        <f>IF($B53="",#N/A,IF(INDEX(LOG_Calc!$A:$XFD,$B53,P$2)="",#N/A,INDEX(LOG_Calc!$A:$XFD,$B53,P$2)))</f>
        <v>#N/A</v>
      </c>
      <c r="Q53" s="19" t="e">
        <f>IF($B53="",#N/A,IF(INDEX(LOG_Calc!$A:$XFD,$B53,Q$2)="",#N/A,INDEX(LOG_Calc!$A:$XFD,$B53,Q$2)))</f>
        <v>#N/A</v>
      </c>
      <c r="R53" s="19" t="e">
        <f>IF($B53="",#N/A,IF(INDEX(LOG_Calc!$A:$XFD,$B53,R$2)="",#N/A,INDEX(LOG_Calc!$A:$XFD,$B53,R$2)))</f>
        <v>#N/A</v>
      </c>
      <c r="S53" s="19">
        <f>IF($C53="",#N/A,IF(INDEX(LOG_Calc!$A:$XFD,$C53,S$2)="",#N/A,INDEX(LOG_Calc!$A:$XFD,$C53,S$2)))</f>
        <v>0.9982593384236987</v>
      </c>
      <c r="T53" s="19">
        <f>IF($C53="",#N/A,IF(INDEX(LOG_Calc!$A:$XFD,$C53,T$2)="",#N/A,INDEX(LOG_Calc!$A:$XFD,$C53,T$2)))</f>
        <v>0.9982593384236987</v>
      </c>
      <c r="U53" s="19">
        <f>IF($C53="",#N/A,IF(INDEX(LOG_Calc!$A:$XFD,$C53,U$2)="",#N/A,INDEX(LOG_Calc!$A:$XFD,$C53,U$2)))</f>
        <v>0.9978230807457255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5:33" ht="12.75"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>
      <c r="A55" s="11">
        <f>A33+1</f>
        <v>3</v>
      </c>
      <c r="B55" s="11">
        <v>11</v>
      </c>
      <c r="C55" s="11">
        <v>27</v>
      </c>
      <c r="D55" s="11">
        <f>D33</f>
        <v>9</v>
      </c>
      <c r="E55" s="18">
        <f>INDEX(Ave_Calc!$A:$XFD,$D55,E$1+($A55-1))</f>
        <v>41055</v>
      </c>
      <c r="F55" s="51">
        <f t="shared" si="5"/>
        <v>442</v>
      </c>
      <c r="G55" s="19">
        <f>IF(INDEX(Ave_Calc!$A:$XFD,G$2+G$3,G$1+($A55-1))="",#N/A,INDEX(Ave_Calc!$A:$XFD,G$2+G$3,G$1+($A55-1)))</f>
        <v>0.8622351608625092</v>
      </c>
      <c r="H55" s="19">
        <f>IF(INDEX(Ave_Calc!$A:$XFD,H$2+H$3,H$1+($A55-1))="",#N/A,INDEX(Ave_Calc!$A:$XFD,H$2+H$3,H$1+($A55-1)))</f>
        <v>0.880406571492704</v>
      </c>
      <c r="I55" s="19">
        <f>IF(INDEX(Ave_Calc!$A:$XFD,I$2+I$3,I$1+($A55-1))="",#N/A,INDEX(Ave_Calc!$A:$XFD,I$2+I$3,I$1+($A55-1)))</f>
        <v>0.8862133778501058</v>
      </c>
      <c r="J55" s="19">
        <f>IF(INDEX(Ave_Calc!$A:$XFD,J$2+J$3,J$1+($A55-1))="",#N/A,INDEX(Ave_Calc!$A:$XFD,J$2+J$3,J$1+($A55-1)))</f>
        <v>0.9643094088727537</v>
      </c>
      <c r="K55" s="19">
        <f>IF(INDEX(Ave_Calc!$A:$XFD,K$2+K$3,K$1+($A55-1))="",#N/A,INDEX(Ave_Calc!$A:$XFD,K$2+K$3,K$1+($A55-1)))</f>
        <v>0.9757996733567778</v>
      </c>
      <c r="L55" s="19">
        <f>IF(INDEX(Ave_Calc!$A:$XFD,L$2+L$3,L$1+($A55-1))="",#N/A,INDEX(Ave_Calc!$A:$XFD,L$2+L$3,L$1+($A55-1)))</f>
        <v>0.982420600295685</v>
      </c>
      <c r="M55" s="19">
        <f>IF(INDEX(Ave_Calc!$A:$XFD,M$2+M$3,M$1+($A55-1))="",#N/A,INDEX(Ave_Calc!$A:$XFD,M$2+M$3,M$1+($A55-1)))</f>
        <v>0.9201691935169722</v>
      </c>
      <c r="N55" s="19">
        <f>IF(INDEX(Ave_Calc!$A:$XFD,N$2+N$3,N$1+($A55-1))="",#N/A,INDEX(Ave_Calc!$A:$XFD,N$2+N$3,N$1+($A55-1)))</f>
        <v>0.9345486022804214</v>
      </c>
      <c r="O55" s="19">
        <f>IF(INDEX(Ave_Calc!$A:$XFD,O$2+O$3,O$1+($A55-1))="",#N/A,INDEX(Ave_Calc!$A:$XFD,O$2+O$3,O$1+($A55-1)))</f>
        <v>0.9408174770759749</v>
      </c>
      <c r="P55" s="19">
        <f>IF($B55="",#N/A,IF(INDEX(LOG_Calc!$A:$XFD,$B55,P$3)="",#N/A,INDEX(LOG_Calc!$A:$XFD,$B55,P$3)))</f>
        <v>0.8095597146352678</v>
      </c>
      <c r="Q55" s="19">
        <f>IF($B55="",#N/A,IF(INDEX(LOG_Calc!$A:$XFD,$B55,Q$3)="",#N/A,INDEX(LOG_Calc!$A:$XFD,$B55,Q$3)))</f>
        <v>0.8095597146352678</v>
      </c>
      <c r="R55" s="19">
        <f>IF($B55="",#N/A,IF(INDEX(LOG_Calc!$A:$XFD,$B55,R$3)="",#N/A,INDEX(LOG_Calc!$A:$XFD,$B55,R$3)))</f>
        <v>0.8162412999917831</v>
      </c>
      <c r="S55" s="19">
        <f>IF($C55="",#N/A,IF(INDEX(LOG_Calc!$A:$XFD,$C55,S$3)="",#N/A,INDEX(LOG_Calc!$A:$XFD,$C55,S$3)))</f>
        <v>0.8228216453031046</v>
      </c>
      <c r="T55" s="19">
        <f>IF($C55="",#N/A,IF(INDEX(LOG_Calc!$A:$XFD,$C55,T$3)="",#N/A,INDEX(LOG_Calc!$A:$XFD,$C55,T$3)))</f>
        <v>0.8234742291703011</v>
      </c>
      <c r="U55" s="19">
        <f>IF($C55="",#N/A,IF(INDEX(LOG_Calc!$A:$XFD,$C55,U$3)="",#N/A,INDEX(LOG_Calc!$A:$XFD,$C55,U$3)))</f>
        <v>1.0334237554869496</v>
      </c>
      <c r="V55" s="19" t="e">
        <f>IF(INDEX(LOG_Calc!$A:$XFD,V$2+V$3,V$1+($A55-1))="",#N/A,INDEX(LOG_Calc!$A:$XFD,V$2+V$3,V$1+($A55-1)))</f>
        <v>#N/A</v>
      </c>
      <c r="W55" s="19" t="e">
        <f>IF(INDEX(LOG_Calc!$A:$XFD,W$2+W$3,W$1+($A55-1))="",#N/A,INDEX(LOG_Calc!$A:$XFD,W$2+W$3,W$1+($A55-1)))</f>
        <v>#N/A</v>
      </c>
      <c r="X55" s="19" t="e">
        <f>IF(INDEX(LOG_Calc!$A:$XFD,X$2+X$3,X$1+($A55-1))="",#N/A,INDEX(LOG_Calc!$A:$XFD,X$2+X$3,X$1+($A55-1)))</f>
        <v>#N/A</v>
      </c>
      <c r="Y55" s="19"/>
      <c r="Z55" s="19"/>
      <c r="AA55" s="19"/>
      <c r="AB55" s="19"/>
      <c r="AC55" s="19"/>
      <c r="AD55" s="19"/>
      <c r="AE55" s="19"/>
      <c r="AF55" s="19"/>
      <c r="AG55" s="19"/>
    </row>
    <row r="56" spans="2:33" ht="12.75">
      <c r="B56" s="11">
        <f>B55+1</f>
        <v>12</v>
      </c>
      <c r="C56" s="11">
        <f>C55+1</f>
        <v>28</v>
      </c>
      <c r="E56" s="18">
        <f>E55</f>
        <v>41055</v>
      </c>
      <c r="F56" s="51">
        <f t="shared" si="5"/>
        <v>442</v>
      </c>
      <c r="G56" s="19"/>
      <c r="H56" s="19"/>
      <c r="I56" s="19"/>
      <c r="J56" s="19"/>
      <c r="K56" s="19"/>
      <c r="L56" s="19"/>
      <c r="M56" s="19"/>
      <c r="N56" s="19"/>
      <c r="O56" s="19"/>
      <c r="P56" s="19">
        <f>IF($B56="",#N/A,IF(INDEX(LOG_Calc!$A:$XFD,$B56,P$3)="",#N/A,INDEX(LOG_Calc!$A:$XFD,$B56,P$3)))</f>
        <v>0.8142475957319202</v>
      </c>
      <c r="Q56" s="19">
        <f>IF($B56="",#N/A,IF(INDEX(LOG_Calc!$A:$XFD,$B56,Q$3)="",#N/A,INDEX(LOG_Calc!$A:$XFD,$B56,Q$3)))</f>
        <v>0.8162412999917831</v>
      </c>
      <c r="R56" s="19">
        <f>IF($B56="",#N/A,IF(INDEX(LOG_Calc!$A:$XFD,$B56,R$3)="",#N/A,INDEX(LOG_Calc!$A:$XFD,$B56,R$3)))</f>
        <v>0.8208579894396999</v>
      </c>
      <c r="S56" s="19">
        <f>IF($C56="",#N/A,IF(INDEX(LOG_Calc!$A:$XFD,$C56,S$3)="",#N/A,INDEX(LOG_Calc!$A:$XFD,$C56,S$3)))</f>
        <v>0.8992731873176038</v>
      </c>
      <c r="T56" s="19">
        <f>IF($C56="",#N/A,IF(INDEX(LOG_Calc!$A:$XFD,$C56,T$3)="",#N/A,INDEX(LOG_Calc!$A:$XFD,$C56,T$3)))</f>
        <v>0.8904210188009143</v>
      </c>
      <c r="U56" s="19">
        <f>IF($C56="",#N/A,IF(INDEX(LOG_Calc!$A:$XFD,$C56,U$3)="",#N/A,INDEX(LOG_Calc!$A:$XFD,$C56,U$3)))</f>
        <v>0.8830933585756899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2:33" ht="12.75">
      <c r="B57" s="11">
        <f aca="true" t="shared" si="12" ref="B57:B70">B56+1</f>
        <v>13</v>
      </c>
      <c r="C57" s="11">
        <f aca="true" t="shared" si="13" ref="C57:C74">C56+1</f>
        <v>29</v>
      </c>
      <c r="E57" s="18">
        <f aca="true" t="shared" si="14" ref="E57:E74">E56</f>
        <v>41055</v>
      </c>
      <c r="F57" s="51">
        <f t="shared" si="5"/>
        <v>442</v>
      </c>
      <c r="G57" s="19"/>
      <c r="H57" s="19"/>
      <c r="I57" s="19"/>
      <c r="J57" s="19"/>
      <c r="K57" s="19"/>
      <c r="L57" s="19"/>
      <c r="M57" s="19"/>
      <c r="N57" s="19"/>
      <c r="O57" s="19"/>
      <c r="P57" s="19">
        <f>IF($B57="",#N/A,IF(INDEX(LOG_Calc!$A:$XFD,$B57,P$3)="",#N/A,INDEX(LOG_Calc!$A:$XFD,$B57,P$3)))</f>
        <v>0.829303772831025</v>
      </c>
      <c r="Q57" s="19">
        <f>IF($B57="",#N/A,IF(INDEX(LOG_Calc!$A:$XFD,$B57,Q$3)="",#N/A,INDEX(LOG_Calc!$A:$XFD,$B57,Q$3)))</f>
        <v>0.829946695941636</v>
      </c>
      <c r="R57" s="19">
        <f>IF($B57="",#N/A,IF(INDEX(LOG_Calc!$A:$XFD,$B57,R$3)="",#N/A,INDEX(LOG_Calc!$A:$XFD,$B57,R$3)))</f>
        <v>0.8260748027008264</v>
      </c>
      <c r="S57" s="19">
        <f>IF($C57="",#N/A,IF(INDEX(LOG_Calc!$A:$XFD,$C57,S$3)="",#N/A,INDEX(LOG_Calc!$A:$XFD,$C57,S$3)))</f>
        <v>0.9100905455940682</v>
      </c>
      <c r="T57" s="19">
        <f>IF($C57="",#N/A,IF(INDEX(LOG_Calc!$A:$XFD,$C57,T$3)="",#N/A,INDEX(LOG_Calc!$A:$XFD,$C57,T$3)))</f>
        <v>0.9106244048892013</v>
      </c>
      <c r="U57" s="19">
        <f>IF($C57="",#N/A,IF(INDEX(LOG_Calc!$A:$XFD,$C57,U$3)="",#N/A,INDEX(LOG_Calc!$A:$XFD,$C57,U$3)))</f>
        <v>0.9122220565324155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2:33" ht="12.75">
      <c r="B58" s="11">
        <f t="shared" si="12"/>
        <v>14</v>
      </c>
      <c r="C58" s="11">
        <f t="shared" si="13"/>
        <v>30</v>
      </c>
      <c r="E58" s="18">
        <f t="shared" si="14"/>
        <v>41055</v>
      </c>
      <c r="F58" s="51">
        <f t="shared" si="5"/>
        <v>442</v>
      </c>
      <c r="G58" s="19"/>
      <c r="H58" s="19"/>
      <c r="I58" s="19"/>
      <c r="J58" s="19"/>
      <c r="K58" s="19"/>
      <c r="L58" s="19"/>
      <c r="M58" s="19"/>
      <c r="N58" s="19"/>
      <c r="O58" s="19"/>
      <c r="P58" s="19">
        <f>IF($B58="",#N/A,IF(INDEX(LOG_Calc!$A:$XFD,$B58,P$3)="",#N/A,INDEX(LOG_Calc!$A:$XFD,$B58,P$3)))</f>
        <v>0.7109631189952758</v>
      </c>
      <c r="Q58" s="19">
        <f>IF($B58="",#N/A,IF(INDEX(LOG_Calc!$A:$XFD,$B58,Q$3)="",#N/A,INDEX(LOG_Calc!$A:$XFD,$B58,Q$3)))</f>
        <v>0.7810369386211319</v>
      </c>
      <c r="R58" s="19">
        <f>IF($B58="",#N/A,IF(INDEX(LOG_Calc!$A:$XFD,$B58,R$3)="",#N/A,INDEX(LOG_Calc!$A:$XFD,$B58,R$3)))</f>
        <v>0.7810369386211319</v>
      </c>
      <c r="S58" s="19">
        <f>IF($C58="",#N/A,IF(INDEX(LOG_Calc!$A:$XFD,$C58,S$3)="",#N/A,INDEX(LOG_Calc!$A:$XFD,$C58,S$3)))</f>
        <v>0.9036325160842377</v>
      </c>
      <c r="T58" s="19">
        <f>IF($C58="",#N/A,IF(INDEX(LOG_Calc!$A:$XFD,$C58,T$3)="",#N/A,INDEX(LOG_Calc!$A:$XFD,$C58,T$3)))</f>
        <v>0.9003671286564703</v>
      </c>
      <c r="U58" s="19">
        <f>IF($C58="",#N/A,IF(INDEX(LOG_Calc!$A:$XFD,$C58,U$3)="",#N/A,INDEX(LOG_Calc!$A:$XFD,$C58,U$3)))</f>
        <v>0.9084850188786497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2:33" ht="12.75">
      <c r="B59" s="11">
        <f t="shared" si="12"/>
        <v>15</v>
      </c>
      <c r="C59" s="11">
        <f t="shared" si="13"/>
        <v>31</v>
      </c>
      <c r="E59" s="18">
        <f t="shared" si="14"/>
        <v>41055</v>
      </c>
      <c r="F59" s="51">
        <f t="shared" si="5"/>
        <v>442</v>
      </c>
      <c r="G59" s="19"/>
      <c r="H59" s="19"/>
      <c r="I59" s="19"/>
      <c r="J59" s="19"/>
      <c r="K59" s="19"/>
      <c r="L59" s="19"/>
      <c r="M59" s="19"/>
      <c r="N59" s="19"/>
      <c r="O59" s="19"/>
      <c r="P59" s="19">
        <f>IF($B59="",#N/A,IF(INDEX(LOG_Calc!$A:$XFD,$B59,P$3)="",#N/A,INDEX(LOG_Calc!$A:$XFD,$B59,P$3)))</f>
        <v>0.8639173769578604</v>
      </c>
      <c r="Q59" s="19">
        <f>IF($B59="",#N/A,IF(INDEX(LOG_Calc!$A:$XFD,$B59,Q$3)="",#N/A,INDEX(LOG_Calc!$A:$XFD,$B59,Q$3)))</f>
        <v>0.8603380065709937</v>
      </c>
      <c r="R59" s="19">
        <f>IF($B59="",#N/A,IF(INDEX(LOG_Calc!$A:$XFD,$B59,R$3)="",#N/A,INDEX(LOG_Calc!$A:$XFD,$B59,R$3)))</f>
        <v>0.8603380065709937</v>
      </c>
      <c r="S59" s="19">
        <f>IF($C59="",#N/A,IF(INDEX(LOG_Calc!$A:$XFD,$C59,S$3)="",#N/A,INDEX(LOG_Calc!$A:$XFD,$C59,S$3)))</f>
        <v>1.0253058652647702</v>
      </c>
      <c r="T59" s="19">
        <f>IF($C59="",#N/A,IF(INDEX(LOG_Calc!$A:$XFD,$C59,T$3)="",#N/A,INDEX(LOG_Calc!$A:$XFD,$C59,T$3)))</f>
        <v>1.0253058652647702</v>
      </c>
      <c r="U59" s="19">
        <f>IF($C59="",#N/A,IF(INDEX(LOG_Calc!$A:$XFD,$C59,U$3)="",#N/A,INDEX(LOG_Calc!$A:$XFD,$C59,U$3)))</f>
        <v>1.0253058652647702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2:33" ht="12.75">
      <c r="B60" s="11">
        <f t="shared" si="12"/>
        <v>16</v>
      </c>
      <c r="C60" s="11">
        <f t="shared" si="13"/>
        <v>32</v>
      </c>
      <c r="E60" s="18">
        <f t="shared" si="14"/>
        <v>41055</v>
      </c>
      <c r="F60" s="51">
        <f t="shared" si="5"/>
        <v>442</v>
      </c>
      <c r="G60" s="19"/>
      <c r="H60" s="19"/>
      <c r="I60" s="19"/>
      <c r="J60" s="19"/>
      <c r="K60" s="19"/>
      <c r="L60" s="19"/>
      <c r="M60" s="19"/>
      <c r="N60" s="19"/>
      <c r="O60" s="19"/>
      <c r="P60" s="19">
        <f>IF($B60="",#N/A,IF(INDEX(LOG_Calc!$A:$XFD,$B60,P$3)="",#N/A,INDEX(LOG_Calc!$A:$XFD,$B60,P$3)))</f>
        <v>0.8943160626844384</v>
      </c>
      <c r="Q60" s="19">
        <f>IF($B60="",#N/A,IF(INDEX(LOG_Calc!$A:$XFD,$B60,Q$3)="",#N/A,INDEX(LOG_Calc!$A:$XFD,$B60,Q$3)))</f>
        <v>0.8887409606828927</v>
      </c>
      <c r="R60" s="19">
        <f>IF($B60="",#N/A,IF(INDEX(LOG_Calc!$A:$XFD,$B60,R$3)="",#N/A,INDEX(LOG_Calc!$A:$XFD,$B60,R$3)))</f>
        <v>0.8937617620579434</v>
      </c>
      <c r="S60" s="19">
        <f>IF($C60="",#N/A,IF(INDEX(LOG_Calc!$A:$XFD,$C60,S$3)="",#N/A,INDEX(LOG_Calc!$A:$XFD,$C60,S$3)))</f>
        <v>1.021189299069938</v>
      </c>
      <c r="T60" s="19">
        <f>IF($C60="",#N/A,IF(INDEX(LOG_Calc!$A:$XFD,$C60,T$3)="",#N/A,INDEX(LOG_Calc!$A:$XFD,$C60,T$3)))</f>
        <v>1.0253058652647702</v>
      </c>
      <c r="U60" s="19">
        <f>IF($C60="",#N/A,IF(INDEX(LOG_Calc!$A:$XFD,$C60,U$3)="",#N/A,INDEX(LOG_Calc!$A:$XFD,$C60,U$3)))</f>
        <v>1.0253058652647702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2:33" ht="12.75">
      <c r="B61" s="11">
        <f t="shared" si="12"/>
        <v>17</v>
      </c>
      <c r="C61" s="11">
        <f t="shared" si="13"/>
        <v>33</v>
      </c>
      <c r="E61" s="18">
        <f t="shared" si="14"/>
        <v>41055</v>
      </c>
      <c r="F61" s="51">
        <f t="shared" si="5"/>
        <v>442</v>
      </c>
      <c r="G61" s="19"/>
      <c r="H61" s="19"/>
      <c r="I61" s="19"/>
      <c r="J61" s="19"/>
      <c r="K61" s="19"/>
      <c r="L61" s="19"/>
      <c r="M61" s="19"/>
      <c r="N61" s="19"/>
      <c r="O61" s="19"/>
      <c r="P61" s="19">
        <f>IF($B61="",#N/A,IF(INDEX(LOG_Calc!$A:$XFD,$B61,P$3)="",#N/A,INDEX(LOG_Calc!$A:$XFD,$B61,P$3)))</f>
        <v>0.9740509027928773</v>
      </c>
      <c r="Q61" s="19">
        <f>IF($B61="",#N/A,IF(INDEX(LOG_Calc!$A:$XFD,$B61,Q$3)="",#N/A,INDEX(LOG_Calc!$A:$XFD,$B61,Q$3)))</f>
        <v>1</v>
      </c>
      <c r="R61" s="19">
        <f>IF($B61="",#N/A,IF(INDEX(LOG_Calc!$A:$XFD,$B61,R$3)="",#N/A,INDEX(LOG_Calc!$A:$XFD,$B61,R$3)))</f>
        <v>0.9938769149412112</v>
      </c>
      <c r="S61" s="19">
        <f>IF($C61="",#N/A,IF(INDEX(LOG_Calc!$A:$XFD,$C61,S$3)="",#N/A,INDEX(LOG_Calc!$A:$XFD,$C61,S$3)))</f>
        <v>1.0253058652647702</v>
      </c>
      <c r="T61" s="19">
        <f>IF($C61="",#N/A,IF(INDEX(LOG_Calc!$A:$XFD,$C61,T$3)="",#N/A,INDEX(LOG_Calc!$A:$XFD,$C61,T$3)))</f>
        <v>1.021189299069938</v>
      </c>
      <c r="U61" s="19">
        <f>IF($C61="",#N/A,IF(INDEX(LOG_Calc!$A:$XFD,$C61,U$3)="",#N/A,INDEX(LOG_Calc!$A:$XFD,$C61,U$3)))</f>
        <v>1.0253058652647702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2:33" ht="12.75">
      <c r="B62" s="11">
        <f t="shared" si="12"/>
        <v>18</v>
      </c>
      <c r="C62" s="11">
        <f t="shared" si="13"/>
        <v>34</v>
      </c>
      <c r="E62" s="18">
        <f t="shared" si="14"/>
        <v>41055</v>
      </c>
      <c r="F62" s="51">
        <f t="shared" si="5"/>
        <v>442</v>
      </c>
      <c r="G62" s="19"/>
      <c r="H62" s="19"/>
      <c r="I62" s="19"/>
      <c r="J62" s="19"/>
      <c r="K62" s="19"/>
      <c r="L62" s="19"/>
      <c r="M62" s="19"/>
      <c r="N62" s="19"/>
      <c r="O62" s="19"/>
      <c r="P62" s="19">
        <f>IF($B62="",#N/A,IF(INDEX(LOG_Calc!$A:$XFD,$B62,P$3)="",#N/A,INDEX(LOG_Calc!$A:$XFD,$B62,P$3)))</f>
        <v>0.9566485792052033</v>
      </c>
      <c r="Q62" s="19">
        <f>IF($B62="",#N/A,IF(INDEX(LOG_Calc!$A:$XFD,$B62,Q$3)="",#N/A,INDEX(LOG_Calc!$A:$XFD,$B62,Q$3)))</f>
        <v>0.9420080530223133</v>
      </c>
      <c r="R62" s="19">
        <f>IF($B62="",#N/A,IF(INDEX(LOG_Calc!$A:$XFD,$B62,R$3)="",#N/A,INDEX(LOG_Calc!$A:$XFD,$B62,R$3)))</f>
        <v>0.9242792860618817</v>
      </c>
      <c r="S62" s="19">
        <f>IF($C62="",#N/A,IF(INDEX(LOG_Calc!$A:$XFD,$C62,S$3)="",#N/A,INDEX(LOG_Calc!$A:$XFD,$C62,S$3)))</f>
        <v>1.021189299069938</v>
      </c>
      <c r="T62" s="19">
        <f>IF($C62="",#N/A,IF(INDEX(LOG_Calc!$A:$XFD,$C62,T$3)="",#N/A,INDEX(LOG_Calc!$A:$XFD,$C62,T$3)))</f>
        <v>1.0374264979406236</v>
      </c>
      <c r="U62" s="19">
        <f>IF($C62="",#N/A,IF(INDEX(LOG_Calc!$A:$XFD,$C62,U$3)="",#N/A,INDEX(LOG_Calc!$A:$XFD,$C62,U$3)))</f>
        <v>1.0755469613925308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2:33" ht="12.75">
      <c r="B63" s="11">
        <f t="shared" si="12"/>
        <v>19</v>
      </c>
      <c r="C63" s="11">
        <f t="shared" si="13"/>
        <v>35</v>
      </c>
      <c r="E63" s="18">
        <f t="shared" si="14"/>
        <v>41055</v>
      </c>
      <c r="F63" s="51">
        <f t="shared" si="5"/>
        <v>442</v>
      </c>
      <c r="G63" s="19"/>
      <c r="H63" s="19"/>
      <c r="I63" s="19"/>
      <c r="J63" s="19"/>
      <c r="K63" s="19"/>
      <c r="L63" s="19"/>
      <c r="M63" s="19"/>
      <c r="N63" s="19"/>
      <c r="O63" s="19"/>
      <c r="P63" s="19">
        <f>IF($B63="",#N/A,IF(INDEX(LOG_Calc!$A:$XFD,$B63,P$3)="",#N/A,INDEX(LOG_Calc!$A:$XFD,$B63,P$3)))</f>
        <v>0.8739015978644614</v>
      </c>
      <c r="Q63" s="19">
        <f>IF($B63="",#N/A,IF(INDEX(LOG_Calc!$A:$XFD,$B63,Q$3)="",#N/A,INDEX(LOG_Calc!$A:$XFD,$B63,Q$3)))</f>
        <v>0.8762178405916422</v>
      </c>
      <c r="R63" s="19">
        <f>IF($B63="",#N/A,IF(INDEX(LOG_Calc!$A:$XFD,$B63,R$3)="",#N/A,INDEX(LOG_Calc!$A:$XFD,$B63,R$3)))</f>
        <v>0.8819549713396005</v>
      </c>
      <c r="S63" s="19">
        <f>IF($C63="",#N/A,IF(INDEX(LOG_Calc!$A:$XFD,$C63,S$3)="",#N/A,INDEX(LOG_Calc!$A:$XFD,$C63,S$3)))</f>
        <v>1.0128372247051722</v>
      </c>
      <c r="T63" s="19">
        <f>IF($C63="",#N/A,IF(INDEX(LOG_Calc!$A:$XFD,$C63,T$3)="",#N/A,INDEX(LOG_Calc!$A:$XFD,$C63,T$3)))</f>
        <v>1.0128372247051722</v>
      </c>
      <c r="U63" s="19">
        <f>IF($C63="",#N/A,IF(INDEX(LOG_Calc!$A:$XFD,$C63,U$3)="",#N/A,INDEX(LOG_Calc!$A:$XFD,$C63,U$3)))</f>
        <v>1.0128372247051722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2:33" ht="12.75">
      <c r="B64" s="11">
        <f t="shared" si="12"/>
        <v>20</v>
      </c>
      <c r="C64" s="11">
        <f t="shared" si="13"/>
        <v>36</v>
      </c>
      <c r="E64" s="18">
        <f t="shared" si="14"/>
        <v>41055</v>
      </c>
      <c r="F64" s="51">
        <f t="shared" si="5"/>
        <v>442</v>
      </c>
      <c r="G64" s="19"/>
      <c r="H64" s="19"/>
      <c r="I64" s="19"/>
      <c r="J64" s="19"/>
      <c r="K64" s="19"/>
      <c r="L64" s="19"/>
      <c r="M64" s="19"/>
      <c r="N64" s="19"/>
      <c r="O64" s="19"/>
      <c r="P64" s="19">
        <f>IF($B64="",#N/A,IF(INDEX(LOG_Calc!$A:$XFD,$B64,P$3)="",#N/A,INDEX(LOG_Calc!$A:$XFD,$B64,P$3)))</f>
        <v>0.8369567370595504</v>
      </c>
      <c r="Q64" s="19">
        <f>IF($B64="",#N/A,IF(INDEX(LOG_Calc!$A:$XFD,$B64,Q$3)="",#N/A,INDEX(LOG_Calc!$A:$XFD,$B64,Q$3)))</f>
        <v>0.8382192219076258</v>
      </c>
      <c r="R64" s="19">
        <f>IF($B64="",#N/A,IF(INDEX(LOG_Calc!$A:$XFD,$B64,R$3)="",#N/A,INDEX(LOG_Calc!$A:$XFD,$B64,R$3)))</f>
        <v>0.8382192219076258</v>
      </c>
      <c r="S64" s="19">
        <f>IF($C64="",#N/A,IF(INDEX(LOG_Calc!$A:$XFD,$C64,S$3)="",#N/A,INDEX(LOG_Calc!$A:$XFD,$C64,S$3)))</f>
        <v>1.0170333392987803</v>
      </c>
      <c r="T64" s="19">
        <f>IF($C64="",#N/A,IF(INDEX(LOG_Calc!$A:$XFD,$C64,T$3)="",#N/A,INDEX(LOG_Calc!$A:$XFD,$C64,T$3)))</f>
        <v>1.0170333392987803</v>
      </c>
      <c r="U64" s="19">
        <f>IF($C64="",#N/A,IF(INDEX(LOG_Calc!$A:$XFD,$C64,U$3)="",#N/A,INDEX(LOG_Calc!$A:$XFD,$C64,U$3)))</f>
        <v>1.0170333392987803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2:33" ht="12.75">
      <c r="B65" s="11">
        <f t="shared" si="12"/>
        <v>21</v>
      </c>
      <c r="C65" s="11">
        <f t="shared" si="13"/>
        <v>37</v>
      </c>
      <c r="E65" s="18">
        <f t="shared" si="14"/>
        <v>41055</v>
      </c>
      <c r="F65" s="51">
        <f t="shared" si="5"/>
        <v>442</v>
      </c>
      <c r="G65" s="19"/>
      <c r="H65" s="19"/>
      <c r="I65" s="19"/>
      <c r="J65" s="19"/>
      <c r="K65" s="19"/>
      <c r="L65" s="19"/>
      <c r="M65" s="19"/>
      <c r="N65" s="19"/>
      <c r="O65" s="19"/>
      <c r="P65" s="19">
        <f>IF($B65="",#N/A,IF(INDEX(LOG_Calc!$A:$XFD,$B65,P$3)="",#N/A,INDEX(LOG_Calc!$A:$XFD,$B65,P$3)))</f>
        <v>0.8195439355418687</v>
      </c>
      <c r="Q65" s="19">
        <f>IF($B65="",#N/A,IF(INDEX(LOG_Calc!$A:$XFD,$B65,Q$3)="",#N/A,INDEX(LOG_Calc!$A:$XFD,$B65,Q$3)))</f>
        <v>0.8463371121298052</v>
      </c>
      <c r="R65" s="19">
        <f>IF($B65="",#N/A,IF(INDEX(LOG_Calc!$A:$XFD,$B65,R$3)="",#N/A,INDEX(LOG_Calc!$A:$XFD,$B65,R$3)))</f>
        <v>0.8656960599160706</v>
      </c>
      <c r="S65" s="19">
        <f>IF($C65="",#N/A,IF(INDEX(LOG_Calc!$A:$XFD,$C65,S$3)="",#N/A,INDEX(LOG_Calc!$A:$XFD,$C65,S$3)))</f>
        <v>0.9074113607745862</v>
      </c>
      <c r="T65" s="19">
        <f>IF($C65="",#N/A,IF(INDEX(LOG_Calc!$A:$XFD,$C65,T$3)="",#N/A,INDEX(LOG_Calc!$A:$XFD,$C65,T$3)))</f>
        <v>0.9095560292411753</v>
      </c>
      <c r="U65" s="19">
        <f>IF($C65="",#N/A,IF(INDEX(LOG_Calc!$A:$XFD,$C65,U$3)="",#N/A,INDEX(LOG_Calc!$A:$XFD,$C65,U$3)))</f>
        <v>0.9100905455940682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2:33" ht="12.75">
      <c r="B66" s="11">
        <f t="shared" si="12"/>
        <v>22</v>
      </c>
      <c r="C66" s="11">
        <f t="shared" si="13"/>
        <v>38</v>
      </c>
      <c r="E66" s="18">
        <f t="shared" si="14"/>
        <v>41055</v>
      </c>
      <c r="F66" s="51">
        <f t="shared" si="5"/>
        <v>442</v>
      </c>
      <c r="G66" s="19"/>
      <c r="H66" s="19"/>
      <c r="I66" s="19"/>
      <c r="J66" s="19"/>
      <c r="K66" s="19"/>
      <c r="L66" s="19"/>
      <c r="M66" s="19"/>
      <c r="N66" s="19"/>
      <c r="O66" s="19"/>
      <c r="P66" s="19">
        <f>IF($B66="",#N/A,IF(INDEX(LOG_Calc!$A:$XFD,$B66,P$3)="",#N/A,INDEX(LOG_Calc!$A:$XFD,$B66,P$3)))</f>
        <v>0.8432327780980095</v>
      </c>
      <c r="Q66" s="19">
        <f>IF($B66="",#N/A,IF(INDEX(LOG_Calc!$A:$XFD,$B66,Q$3)="",#N/A,INDEX(LOG_Calc!$A:$XFD,$B66,Q$3)))</f>
        <v>0.8674674878590515</v>
      </c>
      <c r="R66" s="19">
        <f>IF($B66="",#N/A,IF(INDEX(LOG_Calc!$A:$XFD,$B66,R$3)="",#N/A,INDEX(LOG_Calc!$A:$XFD,$B66,R$3)))</f>
        <v>0.8674674878590515</v>
      </c>
      <c r="S66" s="19">
        <f>IF($C66="",#N/A,IF(INDEX(LOG_Calc!$A:$XFD,$C66,S$3)="",#N/A,INDEX(LOG_Calc!$A:$XFD,$C66,S$3)))</f>
        <v>0.9703468762300933</v>
      </c>
      <c r="T66" s="19">
        <f>IF($C66="",#N/A,IF(INDEX(LOG_Calc!$A:$XFD,$C66,T$3)="",#N/A,INDEX(LOG_Calc!$A:$XFD,$C66,T$3)))</f>
        <v>0.9652017010259121</v>
      </c>
      <c r="U66" s="19">
        <f>IF($C66="",#N/A,IF(INDEX(LOG_Calc!$A:$XFD,$C66,U$3)="",#N/A,INDEX(LOG_Calc!$A:$XFD,$C66,U$3)))</f>
        <v>0.9684829485539351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2:33" ht="12.75">
      <c r="B67" s="11">
        <f t="shared" si="12"/>
        <v>23</v>
      </c>
      <c r="C67" s="11">
        <f t="shared" si="13"/>
        <v>39</v>
      </c>
      <c r="E67" s="18">
        <f t="shared" si="14"/>
        <v>41055</v>
      </c>
      <c r="F67" s="51">
        <f t="shared" si="5"/>
        <v>442</v>
      </c>
      <c r="G67" s="19"/>
      <c r="H67" s="19"/>
      <c r="I67" s="19"/>
      <c r="J67" s="19"/>
      <c r="K67" s="19"/>
      <c r="L67" s="19"/>
      <c r="M67" s="19"/>
      <c r="N67" s="19"/>
      <c r="O67" s="19"/>
      <c r="P67" s="19">
        <f>IF($B67="",#N/A,IF(INDEX(LOG_Calc!$A:$XFD,$B67,P$3)="",#N/A,INDEX(LOG_Calc!$A:$XFD,$B67,P$3)))</f>
        <v>0.8375884382355113</v>
      </c>
      <c r="Q67" s="19">
        <f>IF($B67="",#N/A,IF(INDEX(LOG_Calc!$A:$XFD,$B67,Q$3)="",#N/A,INDEX(LOG_Calc!$A:$XFD,$B67,Q$3)))</f>
        <v>0.9566485792052033</v>
      </c>
      <c r="R67" s="19">
        <f>IF($B67="",#N/A,IF(INDEX(LOG_Calc!$A:$XFD,$B67,R$3)="",#N/A,INDEX(LOG_Calc!$A:$XFD,$B67,R$3)))</f>
        <v>1.021189299069938</v>
      </c>
      <c r="S67" s="19">
        <f>IF($C67="",#N/A,IF(INDEX(LOG_Calc!$A:$XFD,$C67,S$3)="",#N/A,INDEX(LOG_Calc!$A:$XFD,$C67,S$3)))</f>
        <v>0.967547976218862</v>
      </c>
      <c r="T67" s="19">
        <f>IF($C67="",#N/A,IF(INDEX(LOG_Calc!$A:$XFD,$C67,T$3)="",#N/A,INDEX(LOG_Calc!$A:$XFD,$C67,T$3)))</f>
        <v>0.9666109866819343</v>
      </c>
      <c r="U67" s="19">
        <f>IF($C67="",#N/A,IF(INDEX(LOG_Calc!$A:$XFD,$C67,U$3)="",#N/A,INDEX(LOG_Calc!$A:$XFD,$C67,U$3)))</f>
        <v>0.9479236198317263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2:33" ht="12.75">
      <c r="B68" s="11">
        <f t="shared" si="12"/>
        <v>24</v>
      </c>
      <c r="C68" s="11">
        <f t="shared" si="13"/>
        <v>40</v>
      </c>
      <c r="E68" s="18">
        <f t="shared" si="14"/>
        <v>41055</v>
      </c>
      <c r="F68" s="51">
        <f t="shared" si="5"/>
        <v>442</v>
      </c>
      <c r="G68" s="19"/>
      <c r="H68" s="19"/>
      <c r="I68" s="19"/>
      <c r="J68" s="19"/>
      <c r="K68" s="19"/>
      <c r="L68" s="19"/>
      <c r="M68" s="19"/>
      <c r="N68" s="19"/>
      <c r="O68" s="19"/>
      <c r="P68" s="19">
        <f>IF($B68="",#N/A,IF(INDEX(LOG_Calc!$A:$XFD,$B68,P$3)="",#N/A,INDEX(LOG_Calc!$A:$XFD,$B68,P$3)))</f>
        <v>0.8142475957319202</v>
      </c>
      <c r="Q68" s="19">
        <f>IF($B68="",#N/A,IF(INDEX(LOG_Calc!$A:$XFD,$B68,Q$3)="",#N/A,INDEX(LOG_Calc!$A:$XFD,$B68,Q$3)))</f>
        <v>0.8162412999917831</v>
      </c>
      <c r="R68" s="19">
        <f>IF($B68="",#N/A,IF(INDEX(LOG_Calc!$A:$XFD,$B68,R$3)="",#N/A,INDEX(LOG_Calc!$A:$XFD,$B68,R$3)))</f>
        <v>0.8208579894396999</v>
      </c>
      <c r="S68" s="19">
        <f>IF($C68="",#N/A,IF(INDEX(LOG_Calc!$A:$XFD,$C68,S$3)="",#N/A,INDEX(LOG_Calc!$A:$XFD,$C68,S$3)))</f>
        <v>0.9434945159061026</v>
      </c>
      <c r="T68" s="19">
        <f>IF($C68="",#N/A,IF(INDEX(LOG_Calc!$A:$XFD,$C68,T$3)="",#N/A,INDEX(LOG_Calc!$A:$XFD,$C68,T$3)))</f>
        <v>0.9420080530223133</v>
      </c>
      <c r="U68" s="19">
        <f>IF($C68="",#N/A,IF(INDEX(LOG_Calc!$A:$XFD,$C68,U$3)="",#N/A,INDEX(LOG_Calc!$A:$XFD,$C68,U$3)))</f>
        <v>0.9444826721501687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2:33" ht="12.75">
      <c r="B69" s="11">
        <f t="shared" si="12"/>
        <v>25</v>
      </c>
      <c r="C69" s="11">
        <f t="shared" si="13"/>
        <v>41</v>
      </c>
      <c r="E69" s="18">
        <f t="shared" si="14"/>
        <v>41055</v>
      </c>
      <c r="F69" s="51">
        <f t="shared" si="5"/>
        <v>442</v>
      </c>
      <c r="G69" s="19"/>
      <c r="H69" s="19"/>
      <c r="I69" s="19"/>
      <c r="J69" s="19"/>
      <c r="K69" s="19"/>
      <c r="L69" s="19"/>
      <c r="M69" s="19"/>
      <c r="N69" s="19"/>
      <c r="O69" s="19"/>
      <c r="P69" s="19">
        <f>IF($B69="",#N/A,IF(INDEX(LOG_Calc!$A:$XFD,$B69,P$3)="",#N/A,INDEX(LOG_Calc!$A:$XFD,$B69,P$3)))</f>
        <v>0.9400181550076633</v>
      </c>
      <c r="Q69" s="19">
        <f>IF($B69="",#N/A,IF(INDEX(LOG_Calc!$A:$XFD,$B69,Q$3)="",#N/A,INDEX(LOG_Calc!$A:$XFD,$B69,Q$3)))</f>
        <v>0.9489017609702137</v>
      </c>
      <c r="R69" s="19">
        <f>IF($B69="",#N/A,IF(INDEX(LOG_Calc!$A:$XFD,$B69,R$3)="",#N/A,INDEX(LOG_Calc!$A:$XFD,$B69,R$3)))</f>
        <v>0.9547247909790629</v>
      </c>
      <c r="S69" s="19">
        <f>IF($C69="",#N/A,IF(INDEX(LOG_Calc!$A:$XFD,$C69,S$3)="",#N/A,INDEX(LOG_Calc!$A:$XFD,$C69,S$3)))</f>
        <v>0.9122220565324155</v>
      </c>
      <c r="T69" s="19">
        <f>IF($C69="",#N/A,IF(INDEX(LOG_Calc!$A:$XFD,$C69,T$3)="",#N/A,INDEX(LOG_Calc!$A:$XFD,$C69,T$3)))</f>
        <v>0.912753303671323</v>
      </c>
      <c r="U69" s="19">
        <f>IF($C69="",#N/A,IF(INDEX(LOG_Calc!$A:$XFD,$C69,U$3)="",#N/A,INDEX(LOG_Calc!$A:$XFD,$C69,U$3)))</f>
        <v>0.9138138523837167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2:33" ht="12.75">
      <c r="B70" s="11">
        <f t="shared" si="12"/>
        <v>26</v>
      </c>
      <c r="C70" s="11">
        <f t="shared" si="13"/>
        <v>42</v>
      </c>
      <c r="E70" s="18">
        <f t="shared" si="14"/>
        <v>41055</v>
      </c>
      <c r="F70" s="51">
        <f t="shared" si="5"/>
        <v>442</v>
      </c>
      <c r="G70" s="19"/>
      <c r="H70" s="19"/>
      <c r="I70" s="19"/>
      <c r="J70" s="19"/>
      <c r="K70" s="19"/>
      <c r="L70" s="19"/>
      <c r="M70" s="19"/>
      <c r="N70" s="19"/>
      <c r="O70" s="19"/>
      <c r="P70" s="19">
        <f>IF($B70="",#N/A,IF(INDEX(LOG_Calc!$A:$XFD,$B70,P$3)="",#N/A,INDEX(LOG_Calc!$A:$XFD,$B70,P$3)))</f>
        <v>0.9772662124272927</v>
      </c>
      <c r="Q70" s="19">
        <f>IF($B70="",#N/A,IF(INDEX(LOG_Calc!$A:$XFD,$B70,Q$3)="",#N/A,INDEX(LOG_Calc!$A:$XFD,$B70,Q$3)))</f>
        <v>1.0086001717619175</v>
      </c>
      <c r="R70" s="19">
        <f>IF($B70="",#N/A,IF(INDEX(LOG_Calc!$A:$XFD,$B70,R$3)="",#N/A,INDEX(LOG_Calc!$A:$XFD,$B70,R$3)))</f>
        <v>1.0128372247051722</v>
      </c>
      <c r="S70" s="19">
        <f>IF($C70="",#N/A,IF(INDEX(LOG_Calc!$A:$XFD,$C70,S$3)="",#N/A,INDEX(LOG_Calc!$A:$XFD,$C70,S$3)))</f>
        <v>0.9164539485499251</v>
      </c>
      <c r="T70" s="19">
        <f>IF($C70="",#N/A,IF(INDEX(LOG_Calc!$A:$XFD,$C70,T$3)="",#N/A,INDEX(LOG_Calc!$A:$XFD,$C70,T$3)))</f>
        <v>0.9731278535996987</v>
      </c>
      <c r="U70" s="19">
        <f>IF($C70="",#N/A,IF(INDEX(LOG_Calc!$A:$XFD,$C70,U$3)="",#N/A,INDEX(LOG_Calc!$A:$XFD,$C70,U$3)))</f>
        <v>1.0253058652647702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3:33" ht="12.75">
      <c r="C71" s="11">
        <f t="shared" si="13"/>
        <v>43</v>
      </c>
      <c r="E71" s="18">
        <f t="shared" si="14"/>
        <v>41055</v>
      </c>
      <c r="F71" s="51">
        <f t="shared" si="5"/>
        <v>442</v>
      </c>
      <c r="G71" s="19"/>
      <c r="H71" s="19"/>
      <c r="I71" s="19"/>
      <c r="J71" s="19"/>
      <c r="K71" s="19"/>
      <c r="L71" s="19"/>
      <c r="M71" s="19"/>
      <c r="N71" s="19"/>
      <c r="O71" s="19"/>
      <c r="P71" s="19" t="e">
        <f>IF($B71="",#N/A,IF(INDEX(LOG_Calc!$A:$XFD,$B71,P$3)="",#N/A,INDEX(LOG_Calc!$A:$XFD,$B71,P$3)))</f>
        <v>#N/A</v>
      </c>
      <c r="Q71" s="19" t="e">
        <f>IF($B71="",#N/A,IF(INDEX(LOG_Calc!$A:$XFD,$B71,Q$3)="",#N/A,INDEX(LOG_Calc!$A:$XFD,$B71,Q$3)))</f>
        <v>#N/A</v>
      </c>
      <c r="R71" s="19" t="e">
        <f>IF($B71="",#N/A,IF(INDEX(LOG_Calc!$A:$XFD,$B71,R$3)="",#N/A,INDEX(LOG_Calc!$A:$XFD,$B71,R$3)))</f>
        <v>#N/A</v>
      </c>
      <c r="S71" s="19">
        <f>IF($C71="",#N/A,IF(INDEX(LOG_Calc!$A:$XFD,$C71,S$3)="",#N/A,INDEX(LOG_Calc!$A:$XFD,$C71,S$3)))</f>
        <v>0.9689496809813426</v>
      </c>
      <c r="T71" s="19">
        <f>IF($C71="",#N/A,IF(INDEX(LOG_Calc!$A:$XFD,$C71,T$3)="",#N/A,INDEX(LOG_Calc!$A:$XFD,$C71,T$3)))</f>
        <v>0.9758911364017928</v>
      </c>
      <c r="U71" s="19">
        <f>IF($C71="",#N/A,IF(INDEX(LOG_Calc!$A:$XFD,$C71,U$3)="",#N/A,INDEX(LOG_Calc!$A:$XFD,$C71,U$3)))</f>
        <v>0.9800033715837464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3:33" ht="12.75">
      <c r="C72" s="11">
        <f t="shared" si="13"/>
        <v>44</v>
      </c>
      <c r="E72" s="18">
        <f t="shared" si="14"/>
        <v>41055</v>
      </c>
      <c r="F72" s="51">
        <f t="shared" si="5"/>
        <v>442</v>
      </c>
      <c r="G72" s="19"/>
      <c r="H72" s="19"/>
      <c r="I72" s="19"/>
      <c r="J72" s="19"/>
      <c r="K72" s="19"/>
      <c r="L72" s="19"/>
      <c r="M72" s="19"/>
      <c r="N72" s="19"/>
      <c r="O72" s="19"/>
      <c r="P72" s="19" t="e">
        <f>IF($B72="",#N/A,IF(INDEX(LOG_Calc!$A:$XFD,$B72,P$3)="",#N/A,INDEX(LOG_Calc!$A:$XFD,$B72,P$3)))</f>
        <v>#N/A</v>
      </c>
      <c r="Q72" s="19" t="e">
        <f>IF($B72="",#N/A,IF(INDEX(LOG_Calc!$A:$XFD,$B72,Q$3)="",#N/A,INDEX(LOG_Calc!$A:$XFD,$B72,Q$3)))</f>
        <v>#N/A</v>
      </c>
      <c r="R72" s="19" t="e">
        <f>IF($B72="",#N/A,IF(INDEX(LOG_Calc!$A:$XFD,$B72,R$3)="",#N/A,INDEX(LOG_Calc!$A:$XFD,$B72,R$3)))</f>
        <v>#N/A</v>
      </c>
      <c r="S72" s="19">
        <f>IF($C72="",#N/A,IF(INDEX(LOG_Calc!$A:$XFD,$C72,S$3)="",#N/A,INDEX(LOG_Calc!$A:$XFD,$C72,S$3)))</f>
        <v>0.9840770339028309</v>
      </c>
      <c r="T72" s="19">
        <f>IF($C72="",#N/A,IF(INDEX(LOG_Calc!$A:$XFD,$C72,T$3)="",#N/A,INDEX(LOG_Calc!$A:$XFD,$C72,T$3)))</f>
        <v>0.9934362304976118</v>
      </c>
      <c r="U72" s="19">
        <f>IF($C72="",#N/A,IF(INDEX(LOG_Calc!$A:$XFD,$C72,U$3)="",#N/A,INDEX(LOG_Calc!$A:$XFD,$C72,U$3)))</f>
        <v>1.0043213737826426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3:33" ht="12.75">
      <c r="C73" s="11">
        <f t="shared" si="13"/>
        <v>45</v>
      </c>
      <c r="E73" s="18">
        <f t="shared" si="14"/>
        <v>41055</v>
      </c>
      <c r="F73" s="51">
        <f t="shared" si="5"/>
        <v>442</v>
      </c>
      <c r="G73" s="19"/>
      <c r="H73" s="19"/>
      <c r="I73" s="19"/>
      <c r="J73" s="19"/>
      <c r="K73" s="19"/>
      <c r="L73" s="19"/>
      <c r="M73" s="19"/>
      <c r="N73" s="19"/>
      <c r="O73" s="19"/>
      <c r="P73" s="19" t="e">
        <f>IF($B73="",#N/A,IF(INDEX(LOG_Calc!$A:$XFD,$B73,P$3)="",#N/A,INDEX(LOG_Calc!$A:$XFD,$B73,P$3)))</f>
        <v>#N/A</v>
      </c>
      <c r="Q73" s="19" t="e">
        <f>IF($B73="",#N/A,IF(INDEX(LOG_Calc!$A:$XFD,$B73,Q$3)="",#N/A,INDEX(LOG_Calc!$A:$XFD,$B73,Q$3)))</f>
        <v>#N/A</v>
      </c>
      <c r="R73" s="19" t="e">
        <f>IF($B73="",#N/A,IF(INDEX(LOG_Calc!$A:$XFD,$B73,R$3)="",#N/A,INDEX(LOG_Calc!$A:$XFD,$B73,R$3)))</f>
        <v>#N/A</v>
      </c>
      <c r="S73" s="19">
        <f>IF($C73="",#N/A,IF(INDEX(LOG_Calc!$A:$XFD,$C73,S$3)="",#N/A,INDEX(LOG_Calc!$A:$XFD,$C73,S$3)))</f>
        <v>1.0569048513364727</v>
      </c>
      <c r="T73" s="19">
        <f>IF($C73="",#N/A,IF(INDEX(LOG_Calc!$A:$XFD,$C73,T$3)="",#N/A,INDEX(LOG_Calc!$A:$XFD,$C73,T$3)))</f>
        <v>1.0755469613925308</v>
      </c>
      <c r="U73" s="19">
        <f>IF($C73="",#N/A,IF(INDEX(LOG_Calc!$A:$XFD,$C73,U$3)="",#N/A,INDEX(LOG_Calc!$A:$XFD,$C73,U$3)))</f>
        <v>1.08278537031645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3:33" ht="12.75">
      <c r="C74" s="11">
        <f t="shared" si="13"/>
        <v>46</v>
      </c>
      <c r="E74" s="18">
        <f t="shared" si="14"/>
        <v>41055</v>
      </c>
      <c r="F74" s="51">
        <f t="shared" si="5"/>
        <v>442</v>
      </c>
      <c r="G74" s="19"/>
      <c r="H74" s="19"/>
      <c r="I74" s="19"/>
      <c r="J74" s="19"/>
      <c r="K74" s="19"/>
      <c r="L74" s="19"/>
      <c r="M74" s="19"/>
      <c r="N74" s="19"/>
      <c r="O74" s="19"/>
      <c r="P74" s="19" t="e">
        <f>IF($B74="",#N/A,IF(INDEX(LOG_Calc!$A:$XFD,$B74,P$3)="",#N/A,INDEX(LOG_Calc!$A:$XFD,$B74,P$3)))</f>
        <v>#N/A</v>
      </c>
      <c r="Q74" s="19" t="e">
        <f>IF($B74="",#N/A,IF(INDEX(LOG_Calc!$A:$XFD,$B74,Q$3)="",#N/A,INDEX(LOG_Calc!$A:$XFD,$B74,Q$3)))</f>
        <v>#N/A</v>
      </c>
      <c r="R74" s="19" t="e">
        <f>IF($B74="",#N/A,IF(INDEX(LOG_Calc!$A:$XFD,$B74,R$3)="",#N/A,INDEX(LOG_Calc!$A:$XFD,$B74,R$3)))</f>
        <v>#N/A</v>
      </c>
      <c r="S74" s="19">
        <f>IF($C74="",#N/A,IF(INDEX(LOG_Calc!$A:$XFD,$C74,S$3)="",#N/A,INDEX(LOG_Calc!$A:$XFD,$C74,S$3)))</f>
        <v>0.8709888137605752</v>
      </c>
      <c r="T74" s="19">
        <f>IF($C74="",#N/A,IF(INDEX(LOG_Calc!$A:$XFD,$C74,T$3)="",#N/A,INDEX(LOG_Calc!$A:$XFD,$C74,T$3)))</f>
        <v>1.0644579892269184</v>
      </c>
      <c r="U74" s="19">
        <f>IF($C74="",#N/A,IF(INDEX(LOG_Calc!$A:$XFD,$C74,U$3)="",#N/A,INDEX(LOG_Calc!$A:$XFD,$C74,U$3)))</f>
        <v>1.0681858617461617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3:33" ht="12.75">
      <c r="C75" s="11">
        <f>C74+1</f>
        <v>47</v>
      </c>
      <c r="E75" s="18">
        <f>E74</f>
        <v>41055</v>
      </c>
      <c r="F75" s="51">
        <f t="shared" si="5"/>
        <v>442</v>
      </c>
      <c r="G75" s="19"/>
      <c r="H75" s="19"/>
      <c r="I75" s="19"/>
      <c r="J75" s="19"/>
      <c r="K75" s="19"/>
      <c r="L75" s="19"/>
      <c r="M75" s="19"/>
      <c r="N75" s="19"/>
      <c r="O75" s="19"/>
      <c r="P75" s="19" t="e">
        <f>IF($B75="",#N/A,IF(INDEX(LOG_Calc!$A:$XFD,$B75,P$3)="",#N/A,INDEX(LOG_Calc!$A:$XFD,$B75,P$3)))</f>
        <v>#N/A</v>
      </c>
      <c r="Q75" s="19" t="e">
        <f>IF($B75="",#N/A,IF(INDEX(LOG_Calc!$A:$XFD,$B75,Q$3)="",#N/A,INDEX(LOG_Calc!$A:$XFD,$B75,Q$3)))</f>
        <v>#N/A</v>
      </c>
      <c r="R75" s="19" t="e">
        <f>IF($B75="",#N/A,IF(INDEX(LOG_Calc!$A:$XFD,$B75,R$3)="",#N/A,INDEX(LOG_Calc!$A:$XFD,$B75,R$3)))</f>
        <v>#N/A</v>
      </c>
      <c r="S75" s="19">
        <f>IF($C75="",#N/A,IF(INDEX(LOG_Calc!$A:$XFD,$C75,S$3)="",#N/A,INDEX(LOG_Calc!$A:$XFD,$C75,S$3)))</f>
        <v>1.0934216851622351</v>
      </c>
      <c r="T75" s="19">
        <f>IF($C75="",#N/A,IF(INDEX(LOG_Calc!$A:$XFD,$C75,T$3)="",#N/A,INDEX(LOG_Calc!$A:$XFD,$C75,T$3)))</f>
        <v>1.0492180226701815</v>
      </c>
      <c r="U75" s="19">
        <f>IF($C75="",#N/A,IF(INDEX(LOG_Calc!$A:$XFD,$C75,U$3)="",#N/A,INDEX(LOG_Calc!$A:$XFD,$C75,U$3)))</f>
        <v>0.8668778143374989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5:33" ht="12.75">
      <c r="E76" s="18"/>
      <c r="F76" s="5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5:37" ht="12.75">
      <c r="E77" s="18">
        <v>40613</v>
      </c>
      <c r="F77" s="51">
        <f t="shared" si="5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K77" s="11">
        <f>LOG(AK$9)</f>
        <v>-1.3010299956639813</v>
      </c>
    </row>
    <row r="78" spans="5:37" ht="12.75">
      <c r="E78" s="18">
        <v>47918</v>
      </c>
      <c r="F78" s="51">
        <f t="shared" si="5"/>
        <v>7305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K78" s="11">
        <f>LOG(AK$9)</f>
        <v>-1.3010299956639813</v>
      </c>
    </row>
    <row r="79" spans="5:33" ht="12.75">
      <c r="E79" s="18"/>
      <c r="F79" s="5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4:40" ht="12.75">
      <c r="D80" s="11" t="s">
        <v>128</v>
      </c>
      <c r="E80" s="18"/>
      <c r="F80" s="51">
        <f>'0.05到達日'!$U$51</f>
        <v>3403.617217146449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N80" s="11">
        <v>5</v>
      </c>
    </row>
    <row r="81" spans="4:40" ht="12.75">
      <c r="D81" s="11" t="s">
        <v>128</v>
      </c>
      <c r="E81" s="18"/>
      <c r="F81" s="51">
        <f>F80</f>
        <v>3403.617217146449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N81" s="11">
        <v>-5</v>
      </c>
    </row>
    <row r="82" spans="5:33" ht="12.75">
      <c r="E82" s="18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4:39" ht="12.75">
      <c r="D83" s="11" t="s">
        <v>123</v>
      </c>
      <c r="E83" s="18"/>
      <c r="F83" s="51">
        <f>'0.05到達日'!$U$52</f>
        <v>4547.039576907474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M83" s="11">
        <v>5</v>
      </c>
    </row>
    <row r="84" spans="4:39" ht="12.75">
      <c r="D84" s="11" t="s">
        <v>123</v>
      </c>
      <c r="E84" s="18"/>
      <c r="F84" s="51">
        <f>F83</f>
        <v>4547.039576907474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M84" s="11">
        <v>-5</v>
      </c>
    </row>
    <row r="85" spans="5:33" ht="12.75">
      <c r="E85" s="18"/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4:38" ht="12.75">
      <c r="D86" s="11" t="s">
        <v>124</v>
      </c>
      <c r="E86" s="18"/>
      <c r="F86" s="51">
        <f>'0.05到達日'!$U$53</f>
        <v>3870.222204705503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L86" s="11">
        <v>5</v>
      </c>
    </row>
    <row r="87" spans="4:38" ht="12.75">
      <c r="D87" s="11" t="s">
        <v>124</v>
      </c>
      <c r="E87" s="18"/>
      <c r="F87" s="51">
        <f>F86</f>
        <v>3870.222204705503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L87" s="11">
        <v>-5</v>
      </c>
    </row>
    <row r="88" spans="5:33" ht="12.75">
      <c r="E88" s="18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4:43" ht="12.75">
      <c r="D89" s="11" t="s">
        <v>125</v>
      </c>
      <c r="E89" s="18"/>
      <c r="F89" s="51">
        <f>'0.05到達日'!$U$30</f>
        <v>4786.313819843105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Q89" s="11">
        <v>5</v>
      </c>
    </row>
    <row r="90" spans="4:43" ht="12.75">
      <c r="D90" s="11" t="s">
        <v>125</v>
      </c>
      <c r="E90" s="18"/>
      <c r="F90" s="51">
        <f>F89</f>
        <v>4786.313819843105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Q90" s="11">
        <v>-5</v>
      </c>
    </row>
    <row r="91" spans="5:33" ht="12.75">
      <c r="E91" s="18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4:42" ht="12.75">
      <c r="D92" s="11" t="s">
        <v>126</v>
      </c>
      <c r="E92" s="18"/>
      <c r="F92" s="51">
        <f>'0.05到達日'!$U$31</f>
        <v>5342.427450957147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P92" s="11">
        <v>5</v>
      </c>
    </row>
    <row r="93" spans="4:42" ht="12.75">
      <c r="D93" s="11" t="s">
        <v>126</v>
      </c>
      <c r="E93" s="18"/>
      <c r="F93" s="51">
        <f>F92</f>
        <v>5342.427450957147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P93" s="11">
        <v>-5</v>
      </c>
    </row>
    <row r="94" spans="5:33" ht="12.75">
      <c r="E94" s="18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4:41" ht="12.75">
      <c r="D95" s="11" t="s">
        <v>127</v>
      </c>
      <c r="E95" s="18"/>
      <c r="F95" s="51">
        <f>'0.05到達日'!$U$32</f>
        <v>4647.421124853284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O95" s="11">
        <v>5</v>
      </c>
    </row>
    <row r="96" spans="4:41" ht="12.75">
      <c r="D96" s="11" t="s">
        <v>127</v>
      </c>
      <c r="E96" s="18"/>
      <c r="F96" s="51">
        <f>F95</f>
        <v>4647.421124853284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O96" s="11">
        <v>-5</v>
      </c>
    </row>
    <row r="97" spans="5:33" ht="12.75">
      <c r="E97" s="18"/>
      <c r="F97" s="18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5:45" ht="12.75">
      <c r="E98" s="18">
        <v>40613</v>
      </c>
      <c r="F98" s="51">
        <f t="shared" si="5"/>
        <v>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R98" s="11">
        <f>LOG(AR$9*(1/2)^($F98/AR$8))</f>
        <v>0.6989700043360189</v>
      </c>
      <c r="AS98" s="11">
        <f>LOG(AS$9*(1/2)^($F98/AS$8))</f>
        <v>4.076640443670342</v>
      </c>
    </row>
    <row r="99" spans="5:45" ht="12.75">
      <c r="E99" s="18">
        <v>40979</v>
      </c>
      <c r="F99" s="51">
        <f t="shared" si="5"/>
        <v>366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R99" s="11">
        <f>LOG(AR$9*(1/2)^($F99/AR$8))</f>
        <v>0.6889711860754673</v>
      </c>
      <c r="AS99" s="11">
        <f>LOG(AS$9*(1/2)^($F99/AS$8))</f>
        <v>-9.659938460043437</v>
      </c>
    </row>
    <row r="100" spans="5:45" ht="12.75">
      <c r="E100" s="18">
        <v>47918</v>
      </c>
      <c r="F100" s="51">
        <f t="shared" si="5"/>
        <v>7305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R100" s="11">
        <f>LOG(AR$9*(1/2)^($F100/AR$8))</f>
        <v>0.49940342675861776</v>
      </c>
      <c r="AS100" s="11">
        <f>LOG(AS$9*(1/2)^($F100/AS$8))</f>
        <v>-270.09196308537105</v>
      </c>
    </row>
    <row r="101" spans="5:33" ht="12.75">
      <c r="E101" s="18"/>
      <c r="F101" s="5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5:33" ht="12.75">
      <c r="E102" s="18">
        <v>40613</v>
      </c>
      <c r="F102" s="51">
        <f t="shared" si="5"/>
        <v>0</v>
      </c>
      <c r="Y102" s="11">
        <f aca="true" t="shared" si="15" ref="Y102:AD102">Y5</f>
        <v>1.2010007965251281</v>
      </c>
      <c r="Z102" s="11">
        <f t="shared" si="15"/>
        <v>1.169371997721799</v>
      </c>
      <c r="AA102" s="11">
        <f t="shared" si="15"/>
        <v>1.260433294796012</v>
      </c>
      <c r="AB102" s="11">
        <f t="shared" si="15"/>
        <v>1.2016986618451517</v>
      </c>
      <c r="AC102" s="11">
        <f t="shared" si="15"/>
        <v>1.1777815761006116</v>
      </c>
      <c r="AD102" s="11">
        <f t="shared" si="15"/>
        <v>1.2068582758855488</v>
      </c>
      <c r="AE102" s="11">
        <f>AE5</f>
        <v>1.2013968822473036</v>
      </c>
      <c r="AF102" s="11">
        <f>AF5</f>
        <v>1.1741450016665307</v>
      </c>
      <c r="AG102" s="11">
        <f>AG5</f>
        <v>1.2300258516306135</v>
      </c>
    </row>
    <row r="103" spans="5:33" ht="12.75">
      <c r="E103" s="18">
        <v>47918</v>
      </c>
      <c r="F103" s="51">
        <f>DATEDIF(DATE(2011,3,11),E103,"d")</f>
        <v>7305</v>
      </c>
      <c r="Y103" s="11">
        <f aca="true" t="shared" si="16" ref="Y103:AD103">Y4*($E$103-$E$102)+Y5</f>
        <v>-3.521553612552327</v>
      </c>
      <c r="Z103" s="11">
        <f t="shared" si="16"/>
        <v>-2.799427098141083</v>
      </c>
      <c r="AA103" s="11">
        <f t="shared" si="16"/>
        <v>-4.237097168543732</v>
      </c>
      <c r="AB103" s="11">
        <f t="shared" si="16"/>
        <v>-2.732189047476947</v>
      </c>
      <c r="AC103" s="11">
        <f t="shared" si="16"/>
        <v>-2.211636192875583</v>
      </c>
      <c r="AD103" s="11">
        <f t="shared" si="16"/>
        <v>-2.6207477928426917</v>
      </c>
      <c r="AE103" s="11">
        <f>AE4*($E$103-$E$102)+AE5</f>
        <v>-3.073535886428462</v>
      </c>
      <c r="AF103" s="11">
        <f>AF4*($E$103-$E$102)+AF5</f>
        <v>-2.465816043801211</v>
      </c>
      <c r="AG103" s="11">
        <f>AG4*($E$103-$E$102)+AG5</f>
        <v>-3.319709685037733</v>
      </c>
    </row>
    <row r="104" spans="5:33" ht="12.75"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4:35" ht="12.75">
      <c r="D105" s="20">
        <v>0.01</v>
      </c>
      <c r="E105" s="18">
        <f>$E$102</f>
        <v>40613</v>
      </c>
      <c r="F105" s="51">
        <f>DATEDIF(DATE(2011,3,11),E105,"d")</f>
        <v>0</v>
      </c>
      <c r="AI105" s="11">
        <f>LOG(D105)</f>
        <v>-2</v>
      </c>
    </row>
    <row r="106" spans="4:35" ht="12.75">
      <c r="D106" s="20">
        <f>D105</f>
        <v>0.01</v>
      </c>
      <c r="E106" s="18">
        <f>$E$103</f>
        <v>47918</v>
      </c>
      <c r="F106" s="51">
        <f>DATEDIF(DATE(2011,3,11),E106,"d")</f>
        <v>7305</v>
      </c>
      <c r="AI106" s="11">
        <f>AI105</f>
        <v>-2</v>
      </c>
    </row>
    <row r="107" spans="4:6" ht="12.75">
      <c r="D107" s="20"/>
      <c r="E107" s="20"/>
      <c r="F107" s="20"/>
    </row>
    <row r="108" spans="4:36" ht="12.75">
      <c r="D108" s="20">
        <f>D105+0.005</f>
        <v>0.015</v>
      </c>
      <c r="E108" s="18">
        <f>$E$102</f>
        <v>40613</v>
      </c>
      <c r="F108" s="51">
        <f>DATEDIF(DATE(2011,3,11),E108,"d")</f>
        <v>0</v>
      </c>
      <c r="AJ108" s="11">
        <f>LOG(D108)</f>
        <v>-1.8239087409443189</v>
      </c>
    </row>
    <row r="109" spans="4:36" ht="12.75">
      <c r="D109" s="20">
        <f>D108</f>
        <v>0.015</v>
      </c>
      <c r="E109" s="18">
        <f>$E$103</f>
        <v>47918</v>
      </c>
      <c r="F109" s="51">
        <f>DATEDIF(DATE(2011,3,11),E109,"d")</f>
        <v>7305</v>
      </c>
      <c r="AJ109" s="11">
        <f>LOG(D109)</f>
        <v>-1.8239087409443189</v>
      </c>
    </row>
    <row r="110" spans="4:6" ht="12.75">
      <c r="D110" s="20"/>
      <c r="E110" s="20"/>
    </row>
    <row r="111" spans="4:34" ht="12.75">
      <c r="D111" s="20">
        <f>D105+0.01</f>
        <v>0.02</v>
      </c>
      <c r="E111" s="18">
        <f>$E$102</f>
        <v>40613</v>
      </c>
      <c r="F111" s="51">
        <f>DATEDIF(DATE(2011,3,11),E111,"d")</f>
        <v>0</v>
      </c>
      <c r="AH111" s="11">
        <f>LOG(D111)</f>
        <v>-1.6989700043360187</v>
      </c>
    </row>
    <row r="112" spans="4:34" ht="12.75">
      <c r="D112" s="20">
        <f>D111</f>
        <v>0.02</v>
      </c>
      <c r="E112" s="18">
        <f>$E$103</f>
        <v>47918</v>
      </c>
      <c r="F112" s="51">
        <f>DATEDIF(DATE(2011,3,11),E112,"d")</f>
        <v>7305</v>
      </c>
      <c r="AH112" s="11">
        <f>AH111</f>
        <v>-1.6989700043360187</v>
      </c>
    </row>
    <row r="113" spans="4:6" ht="12.75">
      <c r="D113" s="20"/>
      <c r="E113" s="20"/>
      <c r="F113" s="20"/>
    </row>
    <row r="114" spans="4:34" ht="12.75">
      <c r="D114" s="20">
        <f>D111+0.01</f>
        <v>0.03</v>
      </c>
      <c r="E114" s="18">
        <f>$E$102</f>
        <v>40613</v>
      </c>
      <c r="F114" s="51">
        <f>DATEDIF(DATE(2011,3,11),E114,"d")</f>
        <v>0</v>
      </c>
      <c r="AH114" s="11">
        <f>LOG(D114)</f>
        <v>-1.5228787452803376</v>
      </c>
    </row>
    <row r="115" spans="4:34" ht="12.75">
      <c r="D115" s="20">
        <f>D114</f>
        <v>0.03</v>
      </c>
      <c r="E115" s="18">
        <f>$E$103</f>
        <v>47918</v>
      </c>
      <c r="F115" s="51">
        <f>DATEDIF(DATE(2011,3,11),E115,"d")</f>
        <v>7305</v>
      </c>
      <c r="AH115" s="11">
        <f>AH114</f>
        <v>-1.5228787452803376</v>
      </c>
    </row>
    <row r="116" spans="4:6" ht="12.75">
      <c r="D116" s="20"/>
      <c r="E116" s="20"/>
    </row>
    <row r="117" spans="4:34" ht="12.75">
      <c r="D117" s="20">
        <f>D114+0.01</f>
        <v>0.04</v>
      </c>
      <c r="E117" s="18">
        <f>$E$102</f>
        <v>40613</v>
      </c>
      <c r="F117" s="51">
        <f>DATEDIF(DATE(2011,3,11),E117,"d")</f>
        <v>0</v>
      </c>
      <c r="AH117" s="11">
        <f>LOG(D117)</f>
        <v>-1.3979400086720375</v>
      </c>
    </row>
    <row r="118" spans="4:34" ht="12.75">
      <c r="D118" s="20">
        <f>D117</f>
        <v>0.04</v>
      </c>
      <c r="E118" s="18">
        <f>$E$103</f>
        <v>47918</v>
      </c>
      <c r="F118" s="51">
        <f>DATEDIF(DATE(2011,3,11),E118,"d")</f>
        <v>7305</v>
      </c>
      <c r="AH118" s="11">
        <f>AH117</f>
        <v>-1.3979400086720375</v>
      </c>
    </row>
    <row r="119" spans="4:6" ht="12.75">
      <c r="D119" s="20"/>
      <c r="E119" s="20"/>
      <c r="F119" s="20"/>
    </row>
    <row r="120" spans="4:35" ht="12.75">
      <c r="D120" s="20">
        <f>D117+0.01</f>
        <v>0.05</v>
      </c>
      <c r="E120" s="18">
        <f>$E$102</f>
        <v>40613</v>
      </c>
      <c r="F120" s="51">
        <f>DATEDIF(DATE(2011,3,11),E120,"d")</f>
        <v>0</v>
      </c>
      <c r="AI120" s="11">
        <f>LOG(D120)</f>
        <v>-1.3010299956639813</v>
      </c>
    </row>
    <row r="121" spans="4:35" ht="12.75">
      <c r="D121" s="20">
        <f>D120</f>
        <v>0.05</v>
      </c>
      <c r="E121" s="18">
        <f>$E$103</f>
        <v>47918</v>
      </c>
      <c r="F121" s="51">
        <f>DATEDIF(DATE(2011,3,11),E121,"d")</f>
        <v>7305</v>
      </c>
      <c r="AI121" s="11">
        <f>AI120</f>
        <v>-1.3010299956639813</v>
      </c>
    </row>
    <row r="122" spans="4:6" ht="12.75">
      <c r="D122" s="20"/>
      <c r="E122" s="20"/>
    </row>
    <row r="123" spans="4:34" ht="12.75">
      <c r="D123" s="20">
        <f>D120+0.01</f>
        <v>0.060000000000000005</v>
      </c>
      <c r="E123" s="18">
        <f>$E$102</f>
        <v>40613</v>
      </c>
      <c r="F123" s="51">
        <f>DATEDIF(DATE(2011,3,11),E123,"d")</f>
        <v>0</v>
      </c>
      <c r="AH123" s="11">
        <f>LOG(D123)</f>
        <v>-1.2218487496163564</v>
      </c>
    </row>
    <row r="124" spans="4:34" ht="12.75">
      <c r="D124" s="20">
        <f>D123</f>
        <v>0.060000000000000005</v>
      </c>
      <c r="E124" s="18">
        <f>$E$103</f>
        <v>47918</v>
      </c>
      <c r="F124" s="51">
        <f>DATEDIF(DATE(2011,3,11),E124,"d")</f>
        <v>7305</v>
      </c>
      <c r="AH124" s="11">
        <f>AH123</f>
        <v>-1.2218487496163564</v>
      </c>
    </row>
    <row r="125" spans="4:6" ht="12.75">
      <c r="D125" s="20"/>
      <c r="E125" s="20"/>
      <c r="F125" s="20"/>
    </row>
    <row r="126" spans="4:34" ht="12.75">
      <c r="D126" s="20">
        <f>D123+0.01</f>
        <v>0.07</v>
      </c>
      <c r="E126" s="18">
        <f>$E$102</f>
        <v>40613</v>
      </c>
      <c r="F126" s="51">
        <f>DATEDIF(DATE(2011,3,11),E126,"d")</f>
        <v>0</v>
      </c>
      <c r="AH126" s="11">
        <f>LOG(D126)</f>
        <v>-1.154901959985743</v>
      </c>
    </row>
    <row r="127" spans="4:34" ht="12.75">
      <c r="D127" s="20">
        <f>D126</f>
        <v>0.07</v>
      </c>
      <c r="E127" s="18">
        <f>$E$103</f>
        <v>47918</v>
      </c>
      <c r="F127" s="51">
        <f>DATEDIF(DATE(2011,3,11),E127,"d")</f>
        <v>7305</v>
      </c>
      <c r="AH127" s="11">
        <f>AH126</f>
        <v>-1.154901959985743</v>
      </c>
    </row>
    <row r="128" spans="4:6" ht="12.75">
      <c r="D128" s="20"/>
      <c r="E128" s="20"/>
    </row>
    <row r="129" spans="4:34" ht="12.75">
      <c r="D129" s="20">
        <f>D126+0.01</f>
        <v>0.08</v>
      </c>
      <c r="E129" s="18">
        <f>$E$102</f>
        <v>40613</v>
      </c>
      <c r="F129" s="51">
        <f>DATEDIF(DATE(2011,3,11),E129,"d")</f>
        <v>0</v>
      </c>
      <c r="AH129" s="11">
        <f>LOG(D129)</f>
        <v>-1.0969100130080565</v>
      </c>
    </row>
    <row r="130" spans="4:34" ht="12.75">
      <c r="D130" s="20">
        <f>D129</f>
        <v>0.08</v>
      </c>
      <c r="E130" s="18">
        <f>$E$103</f>
        <v>47918</v>
      </c>
      <c r="F130" s="51">
        <f>DATEDIF(DATE(2011,3,11),E130,"d")</f>
        <v>7305</v>
      </c>
      <c r="AH130" s="11">
        <f>AH129</f>
        <v>-1.0969100130080565</v>
      </c>
    </row>
    <row r="131" spans="4:6" ht="12.75">
      <c r="D131" s="20"/>
      <c r="E131" s="20"/>
      <c r="F131" s="20"/>
    </row>
    <row r="132" spans="4:34" ht="12.75">
      <c r="D132" s="20">
        <f>D129+0.01</f>
        <v>0.09</v>
      </c>
      <c r="E132" s="18">
        <f>$E$102</f>
        <v>40613</v>
      </c>
      <c r="F132" s="51">
        <f>DATEDIF(DATE(2011,3,11),E132,"d")</f>
        <v>0</v>
      </c>
      <c r="AH132" s="11">
        <f>LOG(D132)</f>
        <v>-1.0457574905606752</v>
      </c>
    </row>
    <row r="133" spans="4:34" ht="12.75">
      <c r="D133" s="20">
        <f>D132</f>
        <v>0.09</v>
      </c>
      <c r="E133" s="18">
        <f>$E$103</f>
        <v>47918</v>
      </c>
      <c r="F133" s="51">
        <f>DATEDIF(DATE(2011,3,11),E133,"d")</f>
        <v>7305</v>
      </c>
      <c r="AH133" s="11">
        <f>AH132</f>
        <v>-1.0457574905606752</v>
      </c>
    </row>
    <row r="134" spans="4:6" ht="12.75">
      <c r="D134" s="20"/>
      <c r="E134" s="20"/>
    </row>
    <row r="135" spans="4:35" ht="12.75">
      <c r="D135" s="20">
        <f>D105*10</f>
        <v>0.1</v>
      </c>
      <c r="E135" s="18">
        <f>$E$102</f>
        <v>40613</v>
      </c>
      <c r="F135" s="51">
        <f>DATEDIF(DATE(2011,3,11),E135,"d")</f>
        <v>0</v>
      </c>
      <c r="AI135" s="11">
        <f>LOG(D135)</f>
        <v>-1</v>
      </c>
    </row>
    <row r="136" spans="4:35" ht="12.75">
      <c r="D136" s="20">
        <f>D135</f>
        <v>0.1</v>
      </c>
      <c r="E136" s="18">
        <f>$E$103</f>
        <v>47918</v>
      </c>
      <c r="F136" s="51">
        <f>DATEDIF(DATE(2011,3,11),E136,"d")</f>
        <v>7305</v>
      </c>
      <c r="AI136" s="11">
        <f>AI135</f>
        <v>-1</v>
      </c>
    </row>
    <row r="137" spans="4:6" ht="12.75">
      <c r="D137" s="20"/>
      <c r="E137" s="20"/>
      <c r="F137" s="20"/>
    </row>
    <row r="138" spans="4:36" ht="12.75">
      <c r="D138" s="20">
        <f>D108*10</f>
        <v>0.15</v>
      </c>
      <c r="E138" s="18">
        <f>$E$102</f>
        <v>40613</v>
      </c>
      <c r="F138" s="51">
        <f>DATEDIF(DATE(2011,3,11),E138,"d")</f>
        <v>0</v>
      </c>
      <c r="AJ138" s="11">
        <f>LOG(D138)</f>
        <v>-0.8239087409443188</v>
      </c>
    </row>
    <row r="139" spans="4:36" ht="12.75">
      <c r="D139" s="20">
        <f>D138</f>
        <v>0.15</v>
      </c>
      <c r="E139" s="18">
        <f>$E$103</f>
        <v>47918</v>
      </c>
      <c r="F139" s="51">
        <f>DATEDIF(DATE(2011,3,11),E139,"d")</f>
        <v>7305</v>
      </c>
      <c r="AJ139" s="11">
        <f>LOG(D139)</f>
        <v>-0.8239087409443188</v>
      </c>
    </row>
    <row r="140" spans="4:6" ht="12.75">
      <c r="D140" s="20"/>
      <c r="E140" s="20"/>
    </row>
    <row r="141" spans="4:34" ht="12.75">
      <c r="D141" s="20">
        <f>D138+0.05</f>
        <v>0.2</v>
      </c>
      <c r="E141" s="18">
        <f>$E$102</f>
        <v>40613</v>
      </c>
      <c r="F141" s="51">
        <f>DATEDIF(DATE(2011,3,11),E141,"d")</f>
        <v>0</v>
      </c>
      <c r="AH141" s="11">
        <f>LOG(D141)</f>
        <v>-0.6989700043360187</v>
      </c>
    </row>
    <row r="142" spans="4:34" ht="12.75">
      <c r="D142" s="20">
        <f>D141</f>
        <v>0.2</v>
      </c>
      <c r="E142" s="18">
        <f>$E$103</f>
        <v>47918</v>
      </c>
      <c r="F142" s="51">
        <f>DATEDIF(DATE(2011,3,11),E142,"d")</f>
        <v>7305</v>
      </c>
      <c r="AH142" s="11">
        <f>AH141</f>
        <v>-0.6989700043360187</v>
      </c>
    </row>
    <row r="143" spans="4:6" ht="12.75">
      <c r="D143" s="20"/>
      <c r="E143" s="20"/>
      <c r="F143" s="20"/>
    </row>
    <row r="144" spans="4:34" ht="12.75">
      <c r="D144" s="20">
        <f>D114*10</f>
        <v>0.3</v>
      </c>
      <c r="E144" s="18">
        <f>$E$102</f>
        <v>40613</v>
      </c>
      <c r="F144" s="51">
        <f>DATEDIF(DATE(2011,3,11),E144,"d")</f>
        <v>0</v>
      </c>
      <c r="AH144" s="11">
        <f>LOG(D144)</f>
        <v>-0.5228787452803376</v>
      </c>
    </row>
    <row r="145" spans="4:34" ht="12.75">
      <c r="D145" s="20">
        <f>D144</f>
        <v>0.3</v>
      </c>
      <c r="E145" s="18">
        <f>$E$103</f>
        <v>47918</v>
      </c>
      <c r="F145" s="51">
        <f>DATEDIF(DATE(2011,3,11),E145,"d")</f>
        <v>7305</v>
      </c>
      <c r="AH145" s="11">
        <f>AH144</f>
        <v>-0.5228787452803376</v>
      </c>
    </row>
    <row r="146" spans="4:6" ht="12.75">
      <c r="D146" s="20"/>
      <c r="E146" s="20"/>
    </row>
    <row r="147" spans="4:34" ht="12.75">
      <c r="D147" s="20">
        <f>D117*10</f>
        <v>0.4</v>
      </c>
      <c r="E147" s="18">
        <f>$E$102</f>
        <v>40613</v>
      </c>
      <c r="F147" s="51">
        <f>DATEDIF(DATE(2011,3,11),E147,"d")</f>
        <v>0</v>
      </c>
      <c r="AH147" s="11">
        <f>LOG(D147)</f>
        <v>-0.3979400086720376</v>
      </c>
    </row>
    <row r="148" spans="4:34" ht="12.75">
      <c r="D148" s="20">
        <f>D147</f>
        <v>0.4</v>
      </c>
      <c r="E148" s="18">
        <f>$E$103</f>
        <v>47918</v>
      </c>
      <c r="F148" s="51">
        <f>DATEDIF(DATE(2011,3,11),E148,"d")</f>
        <v>7305</v>
      </c>
      <c r="AH148" s="11">
        <f>AH147</f>
        <v>-0.3979400086720376</v>
      </c>
    </row>
    <row r="149" spans="4:6" ht="12.75">
      <c r="D149" s="20"/>
      <c r="E149" s="20"/>
      <c r="F149" s="20"/>
    </row>
    <row r="150" spans="4:35" ht="12.75">
      <c r="D150" s="20">
        <f>D120*10</f>
        <v>0.5</v>
      </c>
      <c r="E150" s="18">
        <f>$E$102</f>
        <v>40613</v>
      </c>
      <c r="F150" s="51">
        <f>DATEDIF(DATE(2011,3,11),E150,"d")</f>
        <v>0</v>
      </c>
      <c r="AI150" s="11">
        <f>LOG(D150)</f>
        <v>-0.3010299956639812</v>
      </c>
    </row>
    <row r="151" spans="4:35" ht="12.75">
      <c r="D151" s="20">
        <f>D150</f>
        <v>0.5</v>
      </c>
      <c r="E151" s="18">
        <f>$E$103</f>
        <v>47918</v>
      </c>
      <c r="F151" s="51">
        <f>DATEDIF(DATE(2011,3,11),E151,"d")</f>
        <v>7305</v>
      </c>
      <c r="AI151" s="11">
        <f>AI150</f>
        <v>-0.3010299956639812</v>
      </c>
    </row>
    <row r="152" spans="4:6" ht="12.75">
      <c r="D152" s="20"/>
      <c r="E152" s="20"/>
    </row>
    <row r="153" spans="4:34" ht="12.75">
      <c r="D153" s="20">
        <f>D123*10</f>
        <v>0.6000000000000001</v>
      </c>
      <c r="E153" s="18">
        <f>$E$102</f>
        <v>40613</v>
      </c>
      <c r="F153" s="51">
        <f>DATEDIF(DATE(2011,3,11),E153,"d")</f>
        <v>0</v>
      </c>
      <c r="AH153" s="11">
        <f>LOG(D153)</f>
        <v>-0.2218487496163563</v>
      </c>
    </row>
    <row r="154" spans="4:34" ht="12.75">
      <c r="D154" s="20">
        <f>D153</f>
        <v>0.6000000000000001</v>
      </c>
      <c r="E154" s="18">
        <f>$E$103</f>
        <v>47918</v>
      </c>
      <c r="F154" s="51">
        <f>DATEDIF(DATE(2011,3,11),E154,"d")</f>
        <v>7305</v>
      </c>
      <c r="AH154" s="11">
        <f>AH153</f>
        <v>-0.2218487496163563</v>
      </c>
    </row>
    <row r="155" spans="4:6" ht="12.75">
      <c r="D155" s="20"/>
      <c r="E155" s="20"/>
      <c r="F155" s="20"/>
    </row>
    <row r="156" spans="4:34" ht="12.75">
      <c r="D156" s="20">
        <f>D126*10</f>
        <v>0.7000000000000001</v>
      </c>
      <c r="E156" s="18">
        <f>$E$102</f>
        <v>40613</v>
      </c>
      <c r="F156" s="51">
        <f>DATEDIF(DATE(2011,3,11),E156,"d")</f>
        <v>0</v>
      </c>
      <c r="AH156" s="11">
        <f>LOG(D156)</f>
        <v>-0.15490195998574313</v>
      </c>
    </row>
    <row r="157" spans="4:34" ht="12.75">
      <c r="D157" s="20">
        <f>D156</f>
        <v>0.7000000000000001</v>
      </c>
      <c r="E157" s="18">
        <f>$E$103</f>
        <v>47918</v>
      </c>
      <c r="F157" s="51">
        <f>DATEDIF(DATE(2011,3,11),E157,"d")</f>
        <v>7305</v>
      </c>
      <c r="AH157" s="11">
        <f>AH156</f>
        <v>-0.15490195998574313</v>
      </c>
    </row>
    <row r="158" spans="4:6" ht="12.75">
      <c r="D158" s="20"/>
      <c r="E158" s="20"/>
    </row>
    <row r="159" spans="4:34" ht="12.75">
      <c r="D159" s="20">
        <f>D129*10</f>
        <v>0.8</v>
      </c>
      <c r="E159" s="18">
        <f>$E$102</f>
        <v>40613</v>
      </c>
      <c r="F159" s="51">
        <f>DATEDIF(DATE(2011,3,11),E159,"d")</f>
        <v>0</v>
      </c>
      <c r="AH159" s="11">
        <f>LOG(D159)</f>
        <v>-0.09691001300805639</v>
      </c>
    </row>
    <row r="160" spans="4:34" ht="12.75">
      <c r="D160" s="20">
        <f>D159</f>
        <v>0.8</v>
      </c>
      <c r="E160" s="18">
        <f>$E$103</f>
        <v>47918</v>
      </c>
      <c r="F160" s="51">
        <f>DATEDIF(DATE(2011,3,11),E160,"d")</f>
        <v>7305</v>
      </c>
      <c r="AH160" s="11">
        <f>AH159</f>
        <v>-0.09691001300805639</v>
      </c>
    </row>
    <row r="161" spans="4:6" ht="12.75">
      <c r="D161" s="20"/>
      <c r="E161" s="20"/>
      <c r="F161" s="20"/>
    </row>
    <row r="162" spans="4:34" ht="12.75">
      <c r="D162" s="20">
        <f>D132*10</f>
        <v>0.8999999999999999</v>
      </c>
      <c r="E162" s="18">
        <f>$E$102</f>
        <v>40613</v>
      </c>
      <c r="F162" s="51">
        <f>DATEDIF(DATE(2011,3,11),E162,"d")</f>
        <v>0</v>
      </c>
      <c r="AH162" s="11">
        <f>LOG(D162)</f>
        <v>-0.04575749056067517</v>
      </c>
    </row>
    <row r="163" spans="4:34" ht="12.75">
      <c r="D163" s="20">
        <f>D162</f>
        <v>0.8999999999999999</v>
      </c>
      <c r="E163" s="18">
        <f>$E$103</f>
        <v>47918</v>
      </c>
      <c r="F163" s="51">
        <f>DATEDIF(DATE(2011,3,11),E163,"d")</f>
        <v>7305</v>
      </c>
      <c r="AH163" s="11">
        <f>AH162</f>
        <v>-0.04575749056067517</v>
      </c>
    </row>
    <row r="164" spans="4:6" ht="12.75">
      <c r="D164" s="20"/>
      <c r="E164" s="20"/>
    </row>
    <row r="165" spans="4:35" ht="12.75">
      <c r="D165" s="20">
        <f>D135*10</f>
        <v>1</v>
      </c>
      <c r="E165" s="18">
        <f>$E$102</f>
        <v>40613</v>
      </c>
      <c r="F165" s="51">
        <f>DATEDIF(DATE(2011,3,11),E165,"d")</f>
        <v>0</v>
      </c>
      <c r="AI165" s="11">
        <f>LOG(D165)</f>
        <v>0</v>
      </c>
    </row>
    <row r="166" spans="4:35" ht="12.75">
      <c r="D166" s="20">
        <f>D165</f>
        <v>1</v>
      </c>
      <c r="E166" s="18">
        <f>$E$103</f>
        <v>47918</v>
      </c>
      <c r="F166" s="51">
        <f>DATEDIF(DATE(2011,3,11),E166,"d")</f>
        <v>7305</v>
      </c>
      <c r="AI166" s="11">
        <f>AI165</f>
        <v>0</v>
      </c>
    </row>
    <row r="167" spans="4:6" ht="12.75">
      <c r="D167" s="20"/>
      <c r="E167" s="20"/>
      <c r="F167" s="20"/>
    </row>
    <row r="168" spans="4:36" ht="12.75">
      <c r="D168" s="20">
        <f>D138*10</f>
        <v>1.5</v>
      </c>
      <c r="E168" s="18">
        <f>$E$102</f>
        <v>40613</v>
      </c>
      <c r="F168" s="51">
        <f>DATEDIF(DATE(2011,3,11),E168,"d")</f>
        <v>0</v>
      </c>
      <c r="AJ168" s="11">
        <f>LOG(D168)</f>
        <v>0.17609125905568124</v>
      </c>
    </row>
    <row r="169" spans="4:36" ht="12.75">
      <c r="D169" s="20">
        <f>D168</f>
        <v>1.5</v>
      </c>
      <c r="E169" s="18">
        <f>$E$103</f>
        <v>47918</v>
      </c>
      <c r="F169" s="51">
        <f>DATEDIF(DATE(2011,3,11),E169,"d")</f>
        <v>7305</v>
      </c>
      <c r="AJ169" s="11">
        <f>LOG(D169)</f>
        <v>0.17609125905568124</v>
      </c>
    </row>
    <row r="170" spans="4:6" ht="12.75">
      <c r="D170" s="20"/>
      <c r="E170" s="20"/>
    </row>
    <row r="171" spans="4:34" ht="12.75">
      <c r="D171" s="20">
        <f>D141*10</f>
        <v>2</v>
      </c>
      <c r="E171" s="18">
        <f>$E$102</f>
        <v>40613</v>
      </c>
      <c r="F171" s="51">
        <f>DATEDIF(DATE(2011,3,11),E171,"d")</f>
        <v>0</v>
      </c>
      <c r="AH171" s="11">
        <f>LOG(D171)</f>
        <v>0.3010299956639812</v>
      </c>
    </row>
    <row r="172" spans="4:34" ht="12.75">
      <c r="D172" s="20">
        <f>D171</f>
        <v>2</v>
      </c>
      <c r="E172" s="18">
        <f>$E$103</f>
        <v>47918</v>
      </c>
      <c r="F172" s="51">
        <f>DATEDIF(DATE(2011,3,11),E172,"d")</f>
        <v>7305</v>
      </c>
      <c r="AH172" s="11">
        <f>AH171</f>
        <v>0.3010299956639812</v>
      </c>
    </row>
    <row r="173" spans="4:6" ht="12.75">
      <c r="D173" s="20"/>
      <c r="E173" s="20"/>
      <c r="F173" s="20"/>
    </row>
    <row r="174" spans="4:34" ht="12.75">
      <c r="D174" s="20">
        <f>D144*10</f>
        <v>3</v>
      </c>
      <c r="E174" s="18">
        <f>$E$102</f>
        <v>40613</v>
      </c>
      <c r="F174" s="51">
        <f>DATEDIF(DATE(2011,3,11),E174,"d")</f>
        <v>0</v>
      </c>
      <c r="AH174" s="11">
        <f>LOG(D174)</f>
        <v>0.47712125471966244</v>
      </c>
    </row>
    <row r="175" spans="4:34" ht="12.75">
      <c r="D175" s="20">
        <f>D174</f>
        <v>3</v>
      </c>
      <c r="E175" s="18">
        <f>$E$103</f>
        <v>47918</v>
      </c>
      <c r="F175" s="51">
        <f>DATEDIF(DATE(2011,3,11),E175,"d")</f>
        <v>7305</v>
      </c>
      <c r="AH175" s="11">
        <f>AH174</f>
        <v>0.47712125471966244</v>
      </c>
    </row>
    <row r="176" spans="4:6" ht="12.75">
      <c r="D176" s="20"/>
      <c r="E176" s="20"/>
    </row>
    <row r="177" spans="4:34" ht="12.75">
      <c r="D177" s="20">
        <f>D147*10</f>
        <v>4</v>
      </c>
      <c r="E177" s="18">
        <f>$E$102</f>
        <v>40613</v>
      </c>
      <c r="F177" s="51">
        <f>DATEDIF(DATE(2011,3,11),E177,"d")</f>
        <v>0</v>
      </c>
      <c r="AH177" s="11">
        <f>LOG(D177)</f>
        <v>0.6020599913279624</v>
      </c>
    </row>
    <row r="178" spans="4:34" ht="12.75">
      <c r="D178" s="20">
        <f>D177</f>
        <v>4</v>
      </c>
      <c r="E178" s="18">
        <f>$E$103</f>
        <v>47918</v>
      </c>
      <c r="F178" s="51">
        <f>DATEDIF(DATE(2011,3,11),E178,"d")</f>
        <v>7305</v>
      </c>
      <c r="AH178" s="11">
        <f>AH177</f>
        <v>0.6020599913279624</v>
      </c>
    </row>
    <row r="179" spans="4:6" ht="12.75">
      <c r="D179" s="20"/>
      <c r="E179" s="20"/>
      <c r="F179" s="20"/>
    </row>
    <row r="180" spans="4:35" ht="12.75">
      <c r="D180" s="20">
        <f>D150*10</f>
        <v>5</v>
      </c>
      <c r="E180" s="18">
        <f>$E$102</f>
        <v>40613</v>
      </c>
      <c r="F180" s="51">
        <f>DATEDIF(DATE(2011,3,11),E180,"d")</f>
        <v>0</v>
      </c>
      <c r="AI180" s="11">
        <f>LOG(D180)</f>
        <v>0.6989700043360189</v>
      </c>
    </row>
    <row r="181" spans="4:35" ht="12.75">
      <c r="D181" s="20">
        <f>D180</f>
        <v>5</v>
      </c>
      <c r="E181" s="18">
        <f>$E$103</f>
        <v>47918</v>
      </c>
      <c r="F181" s="51">
        <f>DATEDIF(DATE(2011,3,11),E181,"d")</f>
        <v>7305</v>
      </c>
      <c r="AI181" s="11">
        <f>AI180</f>
        <v>0.6989700043360189</v>
      </c>
    </row>
    <row r="182" spans="4:6" ht="12.75">
      <c r="D182" s="20"/>
      <c r="E182" s="20"/>
    </row>
    <row r="183" spans="4:34" ht="12.75">
      <c r="D183" s="20">
        <f>D153*10</f>
        <v>6.000000000000001</v>
      </c>
      <c r="E183" s="18">
        <f>$E$102</f>
        <v>40613</v>
      </c>
      <c r="F183" s="51">
        <f>DATEDIF(DATE(2011,3,11),E183,"d")</f>
        <v>0</v>
      </c>
      <c r="AH183" s="11">
        <f>LOG(D183)</f>
        <v>0.7781512503836437</v>
      </c>
    </row>
    <row r="184" spans="4:34" ht="12.75">
      <c r="D184" s="20">
        <f>D183</f>
        <v>6.000000000000001</v>
      </c>
      <c r="E184" s="18">
        <f>$E$103</f>
        <v>47918</v>
      </c>
      <c r="F184" s="51">
        <f>DATEDIF(DATE(2011,3,11),E184,"d")</f>
        <v>7305</v>
      </c>
      <c r="AH184" s="11">
        <f>AH183</f>
        <v>0.7781512503836437</v>
      </c>
    </row>
    <row r="185" spans="4:6" ht="12.75">
      <c r="D185" s="20"/>
      <c r="E185" s="20"/>
      <c r="F185" s="20"/>
    </row>
    <row r="186" spans="4:34" ht="12.75">
      <c r="D186" s="20">
        <f>D156*10</f>
        <v>7.000000000000001</v>
      </c>
      <c r="E186" s="18">
        <f>$E$102</f>
        <v>40613</v>
      </c>
      <c r="F186" s="51">
        <f>DATEDIF(DATE(2011,3,11),E186,"d")</f>
        <v>0</v>
      </c>
      <c r="AH186" s="11">
        <f>LOG(D186)</f>
        <v>0.8450980400142569</v>
      </c>
    </row>
    <row r="187" spans="4:34" ht="12.75">
      <c r="D187" s="20">
        <f>D186</f>
        <v>7.000000000000001</v>
      </c>
      <c r="E187" s="18">
        <f>$E$103</f>
        <v>47918</v>
      </c>
      <c r="F187" s="51">
        <f>DATEDIF(DATE(2011,3,11),E187,"d")</f>
        <v>7305</v>
      </c>
      <c r="AH187" s="11">
        <f>AH186</f>
        <v>0.8450980400142569</v>
      </c>
    </row>
    <row r="188" spans="4:6" ht="12.75">
      <c r="D188" s="20"/>
      <c r="E188" s="20"/>
    </row>
    <row r="189" spans="4:34" ht="12.75">
      <c r="D189" s="20">
        <f>D159*10</f>
        <v>8</v>
      </c>
      <c r="E189" s="18">
        <f>$E$102</f>
        <v>40613</v>
      </c>
      <c r="F189" s="51">
        <f>DATEDIF(DATE(2011,3,11),E189,"d")</f>
        <v>0</v>
      </c>
      <c r="AH189" s="11">
        <f>LOG(D189)</f>
        <v>0.9030899869919435</v>
      </c>
    </row>
    <row r="190" spans="4:34" ht="12.75">
      <c r="D190" s="20">
        <f>D189</f>
        <v>8</v>
      </c>
      <c r="E190" s="18">
        <f>$E$103</f>
        <v>47918</v>
      </c>
      <c r="F190" s="51">
        <f>DATEDIF(DATE(2011,3,11),E190,"d")</f>
        <v>7305</v>
      </c>
      <c r="AH190" s="11">
        <f>AH189</f>
        <v>0.9030899869919435</v>
      </c>
    </row>
    <row r="191" spans="4:6" ht="12.75">
      <c r="D191" s="20"/>
      <c r="E191" s="20"/>
      <c r="F191" s="20"/>
    </row>
    <row r="192" spans="4:34" ht="12.75">
      <c r="D192" s="20">
        <f>D162*10</f>
        <v>9</v>
      </c>
      <c r="E192" s="18">
        <f>$E$102</f>
        <v>40613</v>
      </c>
      <c r="F192" s="51">
        <f>DATEDIF(DATE(2011,3,11),E192,"d")</f>
        <v>0</v>
      </c>
      <c r="AH192" s="11">
        <f>LOG(D192)</f>
        <v>0.9542425094393249</v>
      </c>
    </row>
    <row r="193" spans="4:34" ht="12.75">
      <c r="D193" s="20">
        <f>D192</f>
        <v>9</v>
      </c>
      <c r="E193" s="18">
        <f>$E$103</f>
        <v>47918</v>
      </c>
      <c r="F193" s="51">
        <f>DATEDIF(DATE(2011,3,11),E193,"d")</f>
        <v>7305</v>
      </c>
      <c r="AH193" s="11">
        <f>AH192</f>
        <v>0.9542425094393249</v>
      </c>
    </row>
    <row r="194" spans="4:6" ht="12.75">
      <c r="D194" s="20"/>
      <c r="E194" s="20"/>
    </row>
    <row r="195" spans="4:35" ht="12.75">
      <c r="D195" s="20">
        <f>D165*10</f>
        <v>10</v>
      </c>
      <c r="E195" s="18">
        <f>$E$102</f>
        <v>40613</v>
      </c>
      <c r="F195" s="51">
        <f>DATEDIF(DATE(2011,3,11),E195,"d")</f>
        <v>0</v>
      </c>
      <c r="AI195" s="11">
        <f>LOG(D195)</f>
        <v>1</v>
      </c>
    </row>
    <row r="196" spans="4:35" ht="12.75">
      <c r="D196" s="20">
        <f>D195</f>
        <v>10</v>
      </c>
      <c r="E196" s="18">
        <f>$E$103</f>
        <v>47918</v>
      </c>
      <c r="F196" s="51">
        <f>DATEDIF(DATE(2011,3,11),E196,"d")</f>
        <v>7305</v>
      </c>
      <c r="AI196" s="11">
        <f>AI195</f>
        <v>1</v>
      </c>
    </row>
    <row r="197" spans="4:6" ht="12.75">
      <c r="D197" s="20"/>
      <c r="E197" s="20"/>
      <c r="F197" s="20"/>
    </row>
    <row r="198" spans="4:36" ht="12.75">
      <c r="D198" s="20">
        <f>D168*10</f>
        <v>15</v>
      </c>
      <c r="E198" s="18">
        <f>$E$102</f>
        <v>40613</v>
      </c>
      <c r="F198" s="51">
        <f>DATEDIF(DATE(2011,3,11),E198,"d")</f>
        <v>0</v>
      </c>
      <c r="AJ198" s="11">
        <f>LOG(D198)</f>
        <v>1.1760912590556813</v>
      </c>
    </row>
    <row r="199" spans="4:36" ht="12.75">
      <c r="D199" s="20">
        <f>D198</f>
        <v>15</v>
      </c>
      <c r="E199" s="18">
        <f>$E$103</f>
        <v>47918</v>
      </c>
      <c r="F199" s="51">
        <f>DATEDIF(DATE(2011,3,11),E199,"d")</f>
        <v>7305</v>
      </c>
      <c r="AJ199" s="11">
        <f>LOG(D199)</f>
        <v>1.1760912590556813</v>
      </c>
    </row>
    <row r="200" spans="4:6" ht="12.75">
      <c r="D200" s="20"/>
      <c r="E200" s="20"/>
    </row>
    <row r="201" spans="4:34" ht="12.75">
      <c r="D201" s="20">
        <f>D171*10</f>
        <v>20</v>
      </c>
      <c r="E201" s="18">
        <f>$E$102</f>
        <v>40613</v>
      </c>
      <c r="F201" s="51">
        <f>DATEDIF(DATE(2011,3,11),E201,"d")</f>
        <v>0</v>
      </c>
      <c r="AH201" s="11">
        <f>LOG(D201)</f>
        <v>1.3010299956639813</v>
      </c>
    </row>
    <row r="202" spans="4:34" ht="12.75">
      <c r="D202" s="20">
        <f>D201</f>
        <v>20</v>
      </c>
      <c r="E202" s="18">
        <f>$E$103</f>
        <v>47918</v>
      </c>
      <c r="F202" s="51">
        <f>DATEDIF(DATE(2011,3,11),E202,"d")</f>
        <v>7305</v>
      </c>
      <c r="AH202" s="11">
        <f>AH201</f>
        <v>1.3010299956639813</v>
      </c>
    </row>
    <row r="203" spans="4:6" ht="12.75">
      <c r="D203" s="20"/>
      <c r="E203" s="20"/>
      <c r="F203" s="20"/>
    </row>
    <row r="204" spans="4:34" ht="12.75">
      <c r="D204" s="20">
        <f>D174*10</f>
        <v>30</v>
      </c>
      <c r="E204" s="18">
        <f>$E$102</f>
        <v>40613</v>
      </c>
      <c r="F204" s="51">
        <f>DATEDIF(DATE(2011,3,11),E204,"d")</f>
        <v>0</v>
      </c>
      <c r="AH204" s="11">
        <f>LOG(D204)</f>
        <v>1.4771212547196624</v>
      </c>
    </row>
    <row r="205" spans="4:34" ht="12.75">
      <c r="D205" s="20">
        <f>D204</f>
        <v>30</v>
      </c>
      <c r="E205" s="18">
        <f>$E$103</f>
        <v>47918</v>
      </c>
      <c r="F205" s="51">
        <f>DATEDIF(DATE(2011,3,11),E205,"d")</f>
        <v>7305</v>
      </c>
      <c r="AH205" s="11">
        <f>AH204</f>
        <v>1.4771212547196624</v>
      </c>
    </row>
    <row r="206" spans="4:6" ht="12.75">
      <c r="D206" s="20"/>
      <c r="E206" s="20"/>
    </row>
    <row r="207" spans="4:34" ht="12.75">
      <c r="D207" s="20">
        <f>D177*10</f>
        <v>40</v>
      </c>
      <c r="E207" s="18">
        <f>$E$102</f>
        <v>40613</v>
      </c>
      <c r="F207" s="51">
        <f>DATEDIF(DATE(2011,3,11),E207,"d")</f>
        <v>0</v>
      </c>
      <c r="AH207" s="11">
        <f>LOG(D207)</f>
        <v>1.6020599913279623</v>
      </c>
    </row>
    <row r="208" spans="4:34" ht="12.75">
      <c r="D208" s="20">
        <f>D207</f>
        <v>40</v>
      </c>
      <c r="E208" s="18">
        <f>$E$103</f>
        <v>47918</v>
      </c>
      <c r="F208" s="51">
        <f>DATEDIF(DATE(2011,3,11),E208,"d")</f>
        <v>7305</v>
      </c>
      <c r="AH208" s="11">
        <f>AH207</f>
        <v>1.6020599913279623</v>
      </c>
    </row>
    <row r="209" spans="4:6" ht="12.75">
      <c r="D209" s="20"/>
      <c r="E209" s="20"/>
      <c r="F209" s="20"/>
    </row>
    <row r="210" spans="4:35" ht="12.75">
      <c r="D210" s="20">
        <f>D180*10</f>
        <v>50</v>
      </c>
      <c r="E210" s="18">
        <f>$E$102</f>
        <v>40613</v>
      </c>
      <c r="F210" s="51">
        <f>DATEDIF(DATE(2011,3,11),E210,"d")</f>
        <v>0</v>
      </c>
      <c r="AI210" s="11">
        <f>LOG(D210)</f>
        <v>1.6989700043360187</v>
      </c>
    </row>
    <row r="211" spans="4:35" ht="12.75">
      <c r="D211" s="20">
        <f>D210</f>
        <v>50</v>
      </c>
      <c r="E211" s="18">
        <f>$E$103</f>
        <v>47918</v>
      </c>
      <c r="F211" s="51">
        <f>DATEDIF(DATE(2011,3,11),E211,"d")</f>
        <v>7305</v>
      </c>
      <c r="AI211" s="11">
        <f>AI210</f>
        <v>1.6989700043360187</v>
      </c>
    </row>
    <row r="212" spans="4:6" ht="12.75">
      <c r="D212" s="20"/>
      <c r="E212" s="20"/>
    </row>
    <row r="213" spans="4:34" ht="12.75">
      <c r="D213" s="20">
        <f>D183*10</f>
        <v>60.00000000000001</v>
      </c>
      <c r="E213" s="18">
        <f>$E$102</f>
        <v>40613</v>
      </c>
      <c r="F213" s="51">
        <f>DATEDIF(DATE(2011,3,11),E213,"d")</f>
        <v>0</v>
      </c>
      <c r="AH213" s="11">
        <f>LOG(D213)</f>
        <v>1.7781512503836436</v>
      </c>
    </row>
    <row r="214" spans="4:34" ht="12.75">
      <c r="D214" s="20">
        <f>D213</f>
        <v>60.00000000000001</v>
      </c>
      <c r="E214" s="18">
        <f>$E$103</f>
        <v>47918</v>
      </c>
      <c r="F214" s="51">
        <f>DATEDIF(DATE(2011,3,11),E214,"d")</f>
        <v>7305</v>
      </c>
      <c r="AH214" s="11">
        <f>AH213</f>
        <v>1.7781512503836436</v>
      </c>
    </row>
    <row r="215" spans="4:6" ht="12.75">
      <c r="D215" s="20"/>
      <c r="E215" s="20"/>
      <c r="F215" s="20"/>
    </row>
    <row r="216" spans="4:34" ht="12.75">
      <c r="D216" s="20">
        <f>D186*10</f>
        <v>70.00000000000001</v>
      </c>
      <c r="E216" s="18">
        <f>$E$102</f>
        <v>40613</v>
      </c>
      <c r="F216" s="51">
        <f>DATEDIF(DATE(2011,3,11),E216,"d")</f>
        <v>0</v>
      </c>
      <c r="AH216" s="11">
        <f>LOG(D216)</f>
        <v>1.845098040014257</v>
      </c>
    </row>
    <row r="217" spans="4:34" ht="12.75">
      <c r="D217" s="20">
        <f>D216</f>
        <v>70.00000000000001</v>
      </c>
      <c r="E217" s="18">
        <f>$E$103</f>
        <v>47918</v>
      </c>
      <c r="F217" s="51">
        <f>DATEDIF(DATE(2011,3,11),E217,"d")</f>
        <v>7305</v>
      </c>
      <c r="AH217" s="11">
        <f>AH216</f>
        <v>1.845098040014257</v>
      </c>
    </row>
    <row r="218" spans="4:6" ht="12.75">
      <c r="D218" s="20"/>
      <c r="E218" s="20"/>
    </row>
    <row r="219" spans="4:34" ht="12.75">
      <c r="D219" s="20">
        <f>D189*10</f>
        <v>80</v>
      </c>
      <c r="E219" s="18">
        <f>$E$102</f>
        <v>40613</v>
      </c>
      <c r="F219" s="51">
        <f>DATEDIF(DATE(2011,3,11),E219,"d")</f>
        <v>0</v>
      </c>
      <c r="AH219" s="11">
        <f>LOG(D219)</f>
        <v>1.9030899869919435</v>
      </c>
    </row>
    <row r="220" spans="4:34" ht="12.75">
      <c r="D220" s="20">
        <f>D219</f>
        <v>80</v>
      </c>
      <c r="E220" s="18">
        <f>$E$103</f>
        <v>47918</v>
      </c>
      <c r="F220" s="51">
        <f>DATEDIF(DATE(2011,3,11),E220,"d")</f>
        <v>7305</v>
      </c>
      <c r="AH220" s="11">
        <f>AH219</f>
        <v>1.9030899869919435</v>
      </c>
    </row>
    <row r="221" spans="4:6" ht="12.75">
      <c r="D221" s="20"/>
      <c r="E221" s="20"/>
      <c r="F221" s="20"/>
    </row>
    <row r="222" spans="4:34" ht="12.75">
      <c r="D222" s="20">
        <f>D192*10</f>
        <v>90</v>
      </c>
      <c r="E222" s="18">
        <f>$E$102</f>
        <v>40613</v>
      </c>
      <c r="F222" s="51">
        <f>DATEDIF(DATE(2011,3,11),E222,"d")</f>
        <v>0</v>
      </c>
      <c r="AH222" s="11">
        <f>LOG(D222)</f>
        <v>1.954242509439325</v>
      </c>
    </row>
    <row r="223" spans="4:34" ht="12.75">
      <c r="D223" s="20">
        <f>D222</f>
        <v>90</v>
      </c>
      <c r="E223" s="18">
        <f>$E$103</f>
        <v>47918</v>
      </c>
      <c r="F223" s="51">
        <f>DATEDIF(DATE(2011,3,11),E223,"d")</f>
        <v>7305</v>
      </c>
      <c r="AH223" s="11">
        <f>AH222</f>
        <v>1.954242509439325</v>
      </c>
    </row>
    <row r="224" spans="4:6" ht="12.75">
      <c r="D224" s="20"/>
      <c r="E224" s="20"/>
    </row>
    <row r="225" spans="4:35" ht="12.75">
      <c r="D225" s="20">
        <f>D195*10</f>
        <v>100</v>
      </c>
      <c r="E225" s="18">
        <f>$E$102</f>
        <v>40613</v>
      </c>
      <c r="F225" s="51">
        <f>DATEDIF(DATE(2011,3,11),E225,"d")</f>
        <v>0</v>
      </c>
      <c r="AI225" s="11">
        <f>LOG(D225)</f>
        <v>2</v>
      </c>
    </row>
    <row r="226" spans="4:35" ht="12.75">
      <c r="D226" s="20">
        <f>D225</f>
        <v>100</v>
      </c>
      <c r="E226" s="18">
        <f>$E$103</f>
        <v>47918</v>
      </c>
      <c r="F226" s="51">
        <f>DATEDIF(DATE(2011,3,11),E226,"d")</f>
        <v>7305</v>
      </c>
      <c r="AI226" s="11">
        <f>AI225</f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橋本ファミリ－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橋本利重</dc:creator>
  <cp:keywords/>
  <dc:description/>
  <cp:lastModifiedBy>S_Hashimoto</cp:lastModifiedBy>
  <cp:lastPrinted>2012-06-21T00:59:28Z</cp:lastPrinted>
  <dcterms:created xsi:type="dcterms:W3CDTF">2011-08-20T11:04:13Z</dcterms:created>
  <dcterms:modified xsi:type="dcterms:W3CDTF">2012-06-21T01:05:25Z</dcterms:modified>
  <cp:category/>
  <cp:version/>
  <cp:contentType/>
  <cp:contentStatus/>
</cp:coreProperties>
</file>