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05" activeTab="0"/>
  </bookViews>
  <sheets>
    <sheet name="モニタリング結果" sheetId="1" r:id="rId1"/>
    <sheet name="0.05到達日" sheetId="2" r:id="rId2"/>
    <sheet name="測定結果" sheetId="3" r:id="rId3"/>
    <sheet name="LOG_Calc" sheetId="4" r:id="rId4"/>
    <sheet name="Ave_Calc" sheetId="5" r:id="rId5"/>
    <sheet name="Graph_Data" sheetId="6" r:id="rId6"/>
  </sheets>
  <definedNames>
    <definedName name="_xlnm.Print_Area" localSheetId="1">'0.05到達日'!$A$1:$T$70</definedName>
    <definedName name="_xlnm.Print_Area" localSheetId="0">'モニタリング結果'!$A$1:$T$69</definedName>
  </definedNames>
  <calcPr fullCalcOnLoad="1"/>
</workbook>
</file>

<file path=xl/sharedStrings.xml><?xml version="1.0" encoding="utf-8"?>
<sst xmlns="http://schemas.openxmlformats.org/spreadsheetml/2006/main" count="167" uniqueCount="112">
  <si>
    <t>緯度</t>
  </si>
  <si>
    <t>経度</t>
  </si>
  <si>
    <t>測定値</t>
  </si>
  <si>
    <t>No.</t>
  </si>
  <si>
    <t>測定日</t>
  </si>
  <si>
    <t>測定時間</t>
  </si>
  <si>
    <t>測定者</t>
  </si>
  <si>
    <t>測定器</t>
  </si>
  <si>
    <t>：スクリーニングサーベイ</t>
  </si>
  <si>
    <t>：終了</t>
  </si>
  <si>
    <t>被ばく線量</t>
  </si>
  <si>
    <t>木梨宅測定結果</t>
  </si>
  <si>
    <r>
      <t xml:space="preserve">  Xγ Personal Dosimeter PM1610</t>
    </r>
    <r>
      <rPr>
        <sz val="10"/>
        <rFont val="ＭＳ Ｐゴシック"/>
        <family val="3"/>
      </rPr>
      <t>（線量率）</t>
    </r>
  </si>
  <si>
    <r>
      <t>：</t>
    </r>
    <r>
      <rPr>
        <sz val="10"/>
        <rFont val="Arial"/>
        <family val="2"/>
      </rPr>
      <t>POLIMASTER</t>
    </r>
  </si>
  <si>
    <t>測定点</t>
  </si>
  <si>
    <t>：一次立入開始</t>
  </si>
  <si>
    <t>：一次立入終了</t>
  </si>
  <si>
    <r>
      <t>：地上</t>
    </r>
    <r>
      <rPr>
        <sz val="10"/>
        <rFont val="Arial"/>
        <family val="2"/>
      </rPr>
      <t>1.0m</t>
    </r>
    <r>
      <rPr>
        <sz val="10"/>
        <rFont val="ＭＳ Ｐゴシック"/>
        <family val="3"/>
      </rPr>
      <t>高さ</t>
    </r>
  </si>
  <si>
    <t xml:space="preserve"> 防護装備着用、APD／トランシーバー借用</t>
  </si>
  <si>
    <r>
      <t xml:space="preserve"> &gt;13kcpm </t>
    </r>
    <r>
      <rPr>
        <sz val="10"/>
        <rFont val="ＭＳ Ｐゴシック"/>
        <family val="3"/>
      </rPr>
      <t>拭き取り除染を実施</t>
    </r>
  </si>
  <si>
    <r>
      <t xml:space="preserve"> </t>
    </r>
    <r>
      <rPr>
        <sz val="10"/>
        <rFont val="ＭＳ Ｐゴシック"/>
        <family val="3"/>
      </rPr>
      <t>人・物とも</t>
    </r>
    <r>
      <rPr>
        <sz val="10"/>
        <rFont val="Arial"/>
        <family val="2"/>
      </rPr>
      <t xml:space="preserve">&lt;13kcpm </t>
    </r>
    <r>
      <rPr>
        <sz val="10"/>
        <rFont val="ＭＳ Ｐゴシック"/>
        <family val="3"/>
      </rPr>
      <t>で搬出・持ち出し可</t>
    </r>
  </si>
  <si>
    <r>
      <t>：</t>
    </r>
    <r>
      <rPr>
        <sz val="10"/>
        <rFont val="Arial"/>
        <family val="2"/>
      </rPr>
      <t>18μSv</t>
    </r>
    <r>
      <rPr>
        <sz val="10"/>
        <rFont val="ＭＳ Ｐゴシック"/>
        <family val="3"/>
      </rPr>
      <t>（借用</t>
    </r>
    <r>
      <rPr>
        <sz val="10"/>
        <rFont val="Arial"/>
        <family val="2"/>
      </rPr>
      <t>APD</t>
    </r>
    <r>
      <rPr>
        <sz val="10"/>
        <rFont val="ＭＳ Ｐゴシック"/>
        <family val="3"/>
      </rPr>
      <t>）</t>
    </r>
  </si>
  <si>
    <t>：出発</t>
  </si>
  <si>
    <t>：受付免許証／許可書確認</t>
  </si>
  <si>
    <t>大熊町一時立入時放射線モニタリング結果（きなやん宅）</t>
  </si>
  <si>
    <t>：（東大和久）きなやん</t>
  </si>
  <si>
    <r>
      <t>：平成</t>
    </r>
    <r>
      <rPr>
        <sz val="10"/>
        <rFont val="Arial"/>
        <family val="2"/>
      </rPr>
      <t>24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5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26</t>
    </r>
    <r>
      <rPr>
        <sz val="10"/>
        <rFont val="ＭＳ Ｐゴシック"/>
        <family val="3"/>
      </rPr>
      <t>日（土）</t>
    </r>
  </si>
  <si>
    <r>
      <t>：</t>
    </r>
    <r>
      <rPr>
        <sz val="10"/>
        <rFont val="Arial"/>
        <family val="2"/>
      </rPr>
      <t>11:10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12:30</t>
    </r>
  </si>
  <si>
    <r>
      <t>：道の駅ならは着</t>
    </r>
    <r>
      <rPr>
        <sz val="10"/>
        <rFont val="Arial"/>
        <family val="2"/>
      </rPr>
      <t>0.34μSv/h</t>
    </r>
  </si>
  <si>
    <t>道の駅ならは</t>
  </si>
  <si>
    <r>
      <t>アスファルト面</t>
    </r>
    <r>
      <rPr>
        <sz val="9"/>
        <rFont val="Arial"/>
        <family val="2"/>
      </rPr>
      <t xml:space="preserve"> 3.5kcpm</t>
    </r>
  </si>
  <si>
    <r>
      <t>GM BG800cpm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1m</t>
    </r>
    <r>
      <rPr>
        <sz val="9"/>
        <rFont val="ＭＳ Ｐゴシック"/>
        <family val="3"/>
      </rPr>
      <t>高さ）</t>
    </r>
  </si>
  <si>
    <t>測定結果</t>
  </si>
  <si>
    <t>LOG_Calc</t>
  </si>
  <si>
    <t>前回からの経過日数</t>
  </si>
  <si>
    <t>１回目からの経過日数</t>
  </si>
  <si>
    <t>2011年3月11日からの経過日数</t>
  </si>
  <si>
    <t>測定日</t>
  </si>
  <si>
    <t>開始行</t>
  </si>
  <si>
    <t>データ数</t>
  </si>
  <si>
    <t>終了行</t>
  </si>
  <si>
    <t>シート名</t>
  </si>
  <si>
    <t>算術最大値</t>
  </si>
  <si>
    <t>算術最小値</t>
  </si>
  <si>
    <t>算術平均</t>
  </si>
  <si>
    <t>算術平均(積雪を除く)</t>
  </si>
  <si>
    <t>算術標準偏差</t>
  </si>
  <si>
    <t>LOG最大値</t>
  </si>
  <si>
    <t>LOG最小値</t>
  </si>
  <si>
    <t>LOG平均</t>
  </si>
  <si>
    <t>LOG平均(積雪を除く)</t>
  </si>
  <si>
    <t>LOG標準偏差</t>
  </si>
  <si>
    <t>幾何平均(10^LOG平均)</t>
  </si>
  <si>
    <t>幾何標準偏差(10^LOG標準偏差)</t>
  </si>
  <si>
    <t>幾何平均(10^LOG平均積雪を除く)</t>
  </si>
  <si>
    <t>傾き</t>
  </si>
  <si>
    <t>切片</t>
  </si>
  <si>
    <t>R2</t>
  </si>
  <si>
    <t>近似直線</t>
  </si>
  <si>
    <t>階</t>
  </si>
  <si>
    <t>測定高さ</t>
  </si>
  <si>
    <r>
      <t>1</t>
    </r>
    <r>
      <rPr>
        <sz val="11"/>
        <rFont val="ＭＳ Ｐゴシック"/>
        <family val="3"/>
      </rPr>
      <t>m</t>
    </r>
  </si>
  <si>
    <t>列</t>
  </si>
  <si>
    <t>行</t>
  </si>
  <si>
    <t>傾き</t>
  </si>
  <si>
    <t>切片</t>
  </si>
  <si>
    <t>R2</t>
  </si>
  <si>
    <t>補助目盛</t>
  </si>
  <si>
    <t>目盛</t>
  </si>
  <si>
    <t>補助目盛1.5</t>
  </si>
  <si>
    <t>行_測定日</t>
  </si>
  <si>
    <t>測定日</t>
  </si>
  <si>
    <t>10^LOG平均</t>
  </si>
  <si>
    <t>1m</t>
  </si>
  <si>
    <t>周辺</t>
  </si>
  <si>
    <t>測定年月日</t>
  </si>
  <si>
    <t>3/11経過日数</t>
  </si>
  <si>
    <t>最  大  値</t>
  </si>
  <si>
    <t>最  小  値</t>
  </si>
  <si>
    <t>幾何平均値</t>
  </si>
  <si>
    <t>幾何標準偏差</t>
  </si>
  <si>
    <t>傾き</t>
  </si>
  <si>
    <t>切片</t>
  </si>
  <si>
    <t>実効半減期</t>
  </si>
  <si>
    <r>
      <t>R</t>
    </r>
    <r>
      <rPr>
        <vertAlign val="superscript"/>
        <sz val="9"/>
        <rFont val="Arial"/>
        <family val="2"/>
      </rPr>
      <t>2</t>
    </r>
  </si>
  <si>
    <t>μSv/hr</t>
  </si>
  <si>
    <t>きなやん宅内の実効半減期は約1.5年なのに</t>
  </si>
  <si>
    <r>
      <t>これは</t>
    </r>
    <r>
      <rPr>
        <sz val="9"/>
        <rFont val="Arial"/>
        <family val="2"/>
      </rPr>
      <t>Cs134</t>
    </r>
    <r>
      <rPr>
        <sz val="9"/>
        <rFont val="ＭＳ Ｐゴシック"/>
        <family val="3"/>
      </rPr>
      <t>の半減期</t>
    </r>
    <r>
      <rPr>
        <sz val="9"/>
        <rFont val="Arial"/>
        <family val="2"/>
      </rPr>
      <t>2.06</t>
    </r>
    <r>
      <rPr>
        <sz val="9"/>
        <rFont val="ＭＳ Ｐゴシック"/>
        <family val="3"/>
      </rPr>
      <t>年より長い数値</t>
    </r>
  </si>
  <si>
    <t>です。</t>
  </si>
  <si>
    <t>福島第一原子力発電所から南西約3kmの場</t>
  </si>
  <si>
    <t>所にあるきなやん宅周辺は、高レベルに放射</t>
  </si>
  <si>
    <t>性物質が蒔き散らかされているので、日々</t>
  </si>
  <si>
    <t>周辺から新たな放射性物質が吹き込んで来る</t>
  </si>
  <si>
    <r>
      <t>家の中の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階にまでは、入り込まないようです。</t>
    </r>
  </si>
  <si>
    <r>
      <t>対し、周辺（庭）の実効半減期は約</t>
    </r>
    <r>
      <rPr>
        <sz val="9"/>
        <rFont val="Arial"/>
        <family val="2"/>
      </rPr>
      <t>2.87</t>
    </r>
    <r>
      <rPr>
        <sz val="9"/>
        <rFont val="ＭＳ Ｐゴシック"/>
        <family val="3"/>
      </rPr>
      <t>年と</t>
    </r>
  </si>
  <si>
    <t>長くなった。</t>
  </si>
  <si>
    <t>ためによるものと思われます。</t>
  </si>
  <si>
    <r>
      <t>90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 xml:space="preserve"> 
80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 xml:space="preserve"> 
70</t>
    </r>
    <r>
      <rPr>
        <sz val="1"/>
        <rFont val="ＭＳ Ｐゴシック"/>
        <family val="3"/>
      </rPr>
      <t>　</t>
    </r>
    <r>
      <rPr>
        <sz val="1"/>
        <rFont val="Arial"/>
        <family val="2"/>
      </rPr>
      <t xml:space="preserve"> 
</t>
    </r>
    <r>
      <rPr>
        <sz val="9"/>
        <rFont val="Arial"/>
        <family val="2"/>
      </rPr>
      <t>60</t>
    </r>
    <r>
      <rPr>
        <sz val="1"/>
        <rFont val="Arial"/>
        <family val="2"/>
      </rPr>
      <t xml:space="preserve">
</t>
    </r>
    <r>
      <rPr>
        <sz val="9"/>
        <rFont val="Arial"/>
        <family val="2"/>
      </rPr>
      <t>50</t>
    </r>
  </si>
  <si>
    <t>10^LOG</t>
  </si>
  <si>
    <t>経過日数</t>
  </si>
  <si>
    <r>
      <t>Cs-137</t>
    </r>
    <r>
      <rPr>
        <sz val="10"/>
        <rFont val="ＭＳ Ｐゴシック"/>
        <family val="3"/>
      </rPr>
      <t>の減衰</t>
    </r>
  </si>
  <si>
    <t>1m</t>
  </si>
  <si>
    <t>測定点</t>
  </si>
  <si>
    <r>
      <t>R</t>
    </r>
    <r>
      <rPr>
        <vertAlign val="superscript"/>
        <sz val="9"/>
        <rFont val="Arial"/>
        <family val="2"/>
      </rPr>
      <t>2</t>
    </r>
  </si>
  <si>
    <t>実効半減期</t>
  </si>
  <si>
    <t>1mBG</t>
  </si>
  <si>
    <r>
      <t xml:space="preserve"> Cs-134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2.0648y(754.19d)</t>
    </r>
    <r>
      <rPr>
        <sz val="9"/>
        <rFont val="ＭＳ Ｐゴシック"/>
        <family val="3"/>
      </rPr>
      <t>、</t>
    </r>
    <r>
      <rPr>
        <sz val="9"/>
        <rFont val="Arial"/>
        <family val="2"/>
      </rPr>
      <t>Cs-137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30.167y(11,019d)</t>
    </r>
    <r>
      <rPr>
        <sz val="9"/>
        <rFont val="ＭＳ Ｐゴシック"/>
        <family val="3"/>
      </rPr>
      <t>です。実効半減期は、この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つの物理的半減期と雨風</t>
    </r>
  </si>
  <si>
    <t xml:space="preserve"> 除染等によって減少する環境的半減期によって決定します。Cs-134が減衰するとCs-137が残り、実効半減期も大きくなると予想され</t>
  </si>
  <si>
    <t xml:space="preserve"> ます。</t>
  </si>
  <si>
    <r>
      <t>I-131</t>
    </r>
    <r>
      <rPr>
        <sz val="10"/>
        <rFont val="ＭＳ Ｐゴシック"/>
        <family val="3"/>
      </rPr>
      <t>の減衰</t>
    </r>
  </si>
  <si>
    <r>
      <t>Cs-137</t>
    </r>
    <r>
      <rPr>
        <sz val="9"/>
        <rFont val="ＭＳ Ｐゴシック"/>
        <family val="3"/>
      </rPr>
      <t>の減衰直線です。ただし、存在量が不明ですので、</t>
    </r>
    <r>
      <rPr>
        <sz val="9"/>
        <rFont val="Arial"/>
        <family val="2"/>
      </rPr>
      <t>30.167</t>
    </r>
    <r>
      <rPr>
        <sz val="9"/>
        <rFont val="ＭＳ Ｐゴシック"/>
        <family val="3"/>
      </rPr>
      <t>年という時の長さだけを感じて下さい。</t>
    </r>
  </si>
  <si>
    <r>
      <t>I-131</t>
    </r>
    <r>
      <rPr>
        <sz val="9"/>
        <rFont val="ＭＳ Ｐゴシック"/>
        <family val="3"/>
      </rPr>
      <t>の減衰直線です。存在量が不明ですので、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15</t>
    </r>
    <r>
      <rPr>
        <sz val="9"/>
        <rFont val="ＭＳ Ｐゴシック"/>
        <family val="3"/>
      </rPr>
      <t>日午前</t>
    </r>
    <r>
      <rPr>
        <sz val="9"/>
        <rFont val="Arial"/>
        <family val="2"/>
      </rPr>
      <t>9</t>
    </r>
    <r>
      <rPr>
        <sz val="9"/>
        <rFont val="ＭＳ Ｐゴシック"/>
        <family val="3"/>
      </rPr>
      <t>時</t>
    </r>
    <r>
      <rPr>
        <sz val="9"/>
        <rFont val="Arial"/>
        <family val="2"/>
      </rPr>
      <t>00</t>
    </r>
    <r>
      <rPr>
        <sz val="9"/>
        <rFont val="ＭＳ Ｐゴシック"/>
        <family val="3"/>
      </rPr>
      <t>分正門付近の</t>
    </r>
    <r>
      <rPr>
        <sz val="9"/>
        <rFont val="Arial"/>
        <family val="2"/>
      </rPr>
      <t>11,930</t>
    </r>
    <r>
      <rPr>
        <sz val="9"/>
        <rFont val="ＭＳ Ｐゴシック"/>
        <family val="3"/>
      </rPr>
      <t>μ</t>
    </r>
    <r>
      <rPr>
        <sz val="9"/>
        <rFont val="Arial"/>
        <family val="2"/>
      </rPr>
      <t>Sv/hr</t>
    </r>
    <r>
      <rPr>
        <sz val="9"/>
        <rFont val="ＭＳ Ｐゴシック"/>
        <family val="3"/>
      </rPr>
      <t>としました。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</si>
</sst>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ﾟ&quot;mm&quot;'&quot;ss.000&quot;''&quot;"/>
    <numFmt numFmtId="177" formatCode="#,##0.00_ "/>
    <numFmt numFmtId="178" formatCode="#,##0_ "/>
    <numFmt numFmtId="179" formatCode="[$-411]ggge&quot;年&quot;m&quot;月&quot;d&quot;日&quot;;@"/>
    <numFmt numFmtId="180" formatCode="yyyy/m/d;@"/>
    <numFmt numFmtId="181" formatCode="m/d;@"/>
    <numFmt numFmtId="182" formatCode="[$-4102A]&quot;:&quot;ggge&quot;年&quot;m&quot;月&quot;d&quot;日&quot;;@"/>
    <numFmt numFmtId="183" formatCode="\'yy/m/d;@"/>
    <numFmt numFmtId="184" formatCode="\'yy/m/d"/>
    <numFmt numFmtId="185" formatCode="#,##0_);[Red]\(#,##0\)"/>
    <numFmt numFmtId="186" formatCode="#,##0&quot;d&quot;"/>
    <numFmt numFmtId="187" formatCode="##0.00&quot; μSv/rh到達日&quot;"/>
    <numFmt numFmtId="188" formatCode="##0.0&quot; μSv/hr&quot;"/>
    <numFmt numFmtId="189" formatCode="&quot;(&quot;#,##0.00&quot;y)&quot;"/>
    <numFmt numFmtId="190" formatCode="\'yy"/>
    <numFmt numFmtId="191" formatCode="#,##0.00000&quot;d&quot;"/>
    <numFmt numFmtId="192" formatCode="General&quot;年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Osaka"/>
      <family val="3"/>
    </font>
    <font>
      <sz val="10"/>
      <name val="Arial"/>
      <family val="2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Arial"/>
      <family val="2"/>
    </font>
    <font>
      <sz val="6.25"/>
      <name val="ＭＳ Ｐゴシック"/>
      <family val="3"/>
    </font>
    <font>
      <sz val="6.75"/>
      <name val="ＭＳ Ｐゴシック"/>
      <family val="3"/>
    </font>
    <font>
      <b/>
      <sz val="9"/>
      <color indexed="12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1"/>
      <name val="ＭＳ Ｐゴシック"/>
      <family val="3"/>
    </font>
    <font>
      <sz val="7.75"/>
      <name val="ＭＳ Ｐゴシック"/>
      <family val="3"/>
    </font>
    <font>
      <sz val="7.25"/>
      <name val="ＭＳ Ｐゴシック"/>
      <family val="3"/>
    </font>
    <font>
      <b/>
      <sz val="9"/>
      <color indexed="9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60"/>
      <name val="Arial"/>
      <family val="2"/>
    </font>
    <font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6">
    <border>
      <left/>
      <right/>
      <top/>
      <bottom/>
      <diagonal/>
    </border>
    <border>
      <left style="medium">
        <color indexed="23"/>
      </left>
      <right style="hair"/>
      <top style="thin"/>
      <bottom style="hair"/>
    </border>
    <border>
      <left style="medium">
        <color indexed="23"/>
      </left>
      <right style="hair"/>
      <top style="hair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2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23"/>
      </left>
      <right style="hair"/>
      <top style="medium">
        <color indexed="23"/>
      </top>
      <bottom style="hair"/>
    </border>
    <border>
      <left style="hair"/>
      <right style="hair"/>
      <top style="medium">
        <color indexed="23"/>
      </top>
      <bottom style="hair"/>
    </border>
    <border>
      <left style="medium">
        <color indexed="23"/>
      </left>
      <right>
        <color indexed="63"/>
      </right>
      <top style="medium">
        <color indexed="23"/>
      </top>
      <bottom style="hair"/>
    </border>
    <border>
      <left>
        <color indexed="63"/>
      </left>
      <right>
        <color indexed="63"/>
      </right>
      <top style="medium">
        <color indexed="23"/>
      </top>
      <bottom style="hair"/>
    </border>
    <border>
      <left>
        <color indexed="63"/>
      </left>
      <right style="thin">
        <color indexed="23"/>
      </right>
      <top style="medium">
        <color indexed="23"/>
      </top>
      <bottom style="hair"/>
    </border>
    <border>
      <left style="hair"/>
      <right style="medium">
        <color indexed="23"/>
      </right>
      <top style="hair"/>
      <bottom style="hair"/>
    </border>
    <border>
      <left style="medium">
        <color indexed="23"/>
      </left>
      <right style="hair"/>
      <top style="hair"/>
      <bottom style="hair"/>
    </border>
    <border>
      <left style="hair"/>
      <right style="thin">
        <color indexed="23"/>
      </right>
      <top style="hair"/>
      <bottom style="hair"/>
    </border>
    <border>
      <left style="medium">
        <color indexed="23"/>
      </left>
      <right style="hair"/>
      <top>
        <color indexed="63"/>
      </top>
      <bottom style="hair"/>
    </border>
    <border>
      <left style="hair"/>
      <right style="thin">
        <color indexed="23"/>
      </right>
      <top>
        <color indexed="63"/>
      </top>
      <bottom style="hair"/>
    </border>
    <border>
      <left style="hair"/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hair">
        <color indexed="23"/>
      </bottom>
    </border>
    <border>
      <left style="hair"/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/>
      <right style="medium">
        <color indexed="23"/>
      </right>
      <top style="medium">
        <color indexed="23"/>
      </top>
      <bottom style="hair"/>
    </border>
    <border>
      <left style="hair"/>
      <right style="hair"/>
      <top style="hair"/>
      <bottom style="thin"/>
    </border>
    <border>
      <left style="hair"/>
      <right style="medium">
        <color indexed="23"/>
      </right>
      <top style="hair"/>
      <bottom style="thin"/>
    </border>
    <border>
      <left style="hair"/>
      <right style="medium">
        <color indexed="2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>
        <color indexed="23"/>
      </right>
      <top style="hair"/>
      <bottom>
        <color indexed="63"/>
      </bottom>
    </border>
    <border>
      <left style="hair"/>
      <right style="medium">
        <color indexed="23"/>
      </right>
      <top style="hair"/>
      <bottom>
        <color indexed="63"/>
      </bottom>
    </border>
    <border>
      <left style="hair"/>
      <right style="hair"/>
      <top style="hair"/>
      <bottom style="medium">
        <color indexed="23"/>
      </bottom>
    </border>
    <border>
      <left style="hair"/>
      <right style="thin">
        <color indexed="23"/>
      </right>
      <top style="hair"/>
      <bottom style="medium">
        <color indexed="23"/>
      </bottom>
    </border>
    <border>
      <left style="medium">
        <color indexed="23"/>
      </left>
      <right style="hair"/>
      <top style="hair"/>
      <bottom>
        <color indexed="63"/>
      </bottom>
    </border>
    <border>
      <left style="thin">
        <color indexed="23"/>
      </left>
      <right style="hair"/>
      <top style="hair"/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hair"/>
      <top style="hair">
        <color indexed="23"/>
      </top>
      <bottom style="medium">
        <color indexed="23"/>
      </bottom>
    </border>
    <border>
      <left>
        <color indexed="63"/>
      </left>
      <right style="hair"/>
      <top style="thin">
        <color indexed="23"/>
      </top>
      <bottom style="hair">
        <color indexed="23"/>
      </bottom>
    </border>
    <border>
      <left style="hair"/>
      <right style="hair"/>
      <top style="thin"/>
      <bottom style="hair"/>
    </border>
    <border>
      <left style="hair"/>
      <right style="thin">
        <color indexed="23"/>
      </right>
      <top style="thin"/>
      <bottom style="hair"/>
    </border>
    <border>
      <left style="medium">
        <color indexed="23"/>
      </left>
      <right style="hair"/>
      <top style="hair"/>
      <bottom style="thin"/>
    </border>
    <border>
      <left style="hair"/>
      <right style="thin">
        <color indexed="23"/>
      </right>
      <top style="hair"/>
      <bottom style="thin"/>
    </border>
    <border>
      <left style="thin">
        <color indexed="23"/>
      </left>
      <right style="hair"/>
      <top style="hair"/>
      <bottom style="thin"/>
    </border>
    <border>
      <left style="hair"/>
      <right style="thin">
        <color indexed="23"/>
      </right>
      <top style="medium">
        <color indexed="23"/>
      </top>
      <bottom style="hair"/>
    </border>
    <border>
      <left style="thin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83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21" applyFont="1">
      <alignment/>
      <protection/>
    </xf>
    <xf numFmtId="184" fontId="5" fillId="2" borderId="1" xfId="0" applyNumberFormat="1" applyFont="1" applyFill="1" applyBorder="1" applyAlignment="1">
      <alignment horizontal="center" vertical="center" shrinkToFit="1"/>
    </xf>
    <xf numFmtId="184" fontId="10" fillId="2" borderId="2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9" xfId="0" applyFont="1" applyFill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21" fillId="0" borderId="0" xfId="0" applyFont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top"/>
    </xf>
    <xf numFmtId="0" fontId="10" fillId="2" borderId="17" xfId="0" applyFont="1" applyFill="1" applyBorder="1" applyAlignment="1">
      <alignment horizontal="right" vertical="center"/>
    </xf>
    <xf numFmtId="177" fontId="13" fillId="0" borderId="30" xfId="0" applyNumberFormat="1" applyFont="1" applyFill="1" applyBorder="1" applyAlignment="1">
      <alignment horizontal="center" vertical="center"/>
    </xf>
    <xf numFmtId="177" fontId="13" fillId="0" borderId="31" xfId="0" applyNumberFormat="1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center" vertical="center"/>
    </xf>
    <xf numFmtId="184" fontId="10" fillId="0" borderId="34" xfId="0" applyNumberFormat="1" applyFont="1" applyFill="1" applyBorder="1" applyAlignment="1">
      <alignment horizontal="center" vertical="center"/>
    </xf>
    <xf numFmtId="184" fontId="10" fillId="0" borderId="3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2" borderId="19" xfId="0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right" wrapText="1"/>
    </xf>
    <xf numFmtId="177" fontId="13" fillId="0" borderId="39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177" fontId="13" fillId="0" borderId="41" xfId="0" applyNumberFormat="1" applyFont="1" applyFill="1" applyBorder="1" applyAlignment="1">
      <alignment horizontal="center" vertical="center"/>
    </xf>
    <xf numFmtId="177" fontId="10" fillId="0" borderId="30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3" borderId="46" xfId="0" applyNumberFormat="1" applyFont="1" applyFill="1" applyBorder="1" applyAlignment="1">
      <alignment horizontal="center" vertical="center" shrinkToFit="1"/>
    </xf>
    <xf numFmtId="0" fontId="10" fillId="3" borderId="47" xfId="0" applyNumberFormat="1" applyFont="1" applyFill="1" applyBorder="1" applyAlignment="1">
      <alignment horizontal="center" vertical="center" shrinkToFit="1"/>
    </xf>
    <xf numFmtId="0" fontId="10" fillId="3" borderId="48" xfId="0" applyNumberFormat="1" applyFont="1" applyFill="1" applyBorder="1" applyAlignment="1">
      <alignment horizontal="center" vertical="center" shrinkToFit="1"/>
    </xf>
    <xf numFmtId="184" fontId="10" fillId="0" borderId="49" xfId="0" applyNumberFormat="1" applyFont="1" applyFill="1" applyBorder="1" applyAlignment="1">
      <alignment horizontal="center" vertical="center"/>
    </xf>
    <xf numFmtId="185" fontId="10" fillId="0" borderId="50" xfId="0" applyNumberFormat="1" applyFont="1" applyFill="1" applyBorder="1" applyAlignment="1">
      <alignment horizontal="center" vertical="center"/>
    </xf>
    <xf numFmtId="185" fontId="10" fillId="0" borderId="51" xfId="0" applyNumberFormat="1" applyFont="1" applyFill="1" applyBorder="1" applyAlignment="1">
      <alignment horizontal="center" vertical="center"/>
    </xf>
    <xf numFmtId="177" fontId="10" fillId="0" borderId="52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>
      <alignment horizontal="center" vertical="center"/>
    </xf>
    <xf numFmtId="177" fontId="10" fillId="0" borderId="53" xfId="0" applyNumberFormat="1" applyFont="1" applyFill="1" applyBorder="1" applyAlignment="1">
      <alignment horizontal="center" vertical="center"/>
    </xf>
    <xf numFmtId="177" fontId="10" fillId="0" borderId="54" xfId="0" applyNumberFormat="1" applyFont="1" applyFill="1" applyBorder="1" applyAlignment="1">
      <alignment horizontal="center" vertical="center"/>
    </xf>
    <xf numFmtId="177" fontId="10" fillId="0" borderId="55" xfId="0" applyNumberFormat="1" applyFont="1" applyFill="1" applyBorder="1" applyAlignment="1">
      <alignment horizontal="center" vertical="center"/>
    </xf>
    <xf numFmtId="177" fontId="10" fillId="0" borderId="41" xfId="0" applyNumberFormat="1" applyFont="1" applyFill="1" applyBorder="1" applyAlignment="1">
      <alignment horizontal="center" vertical="center"/>
    </xf>
    <xf numFmtId="184" fontId="5" fillId="3" borderId="56" xfId="0" applyNumberFormat="1" applyFont="1" applyFill="1" applyBorder="1" applyAlignment="1">
      <alignment horizontal="center" vertical="center" shrinkToFit="1"/>
    </xf>
    <xf numFmtId="184" fontId="10" fillId="3" borderId="57" xfId="0" applyNumberFormat="1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177" fontId="10" fillId="0" borderId="59" xfId="0" applyNumberFormat="1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center" vertical="center"/>
    </xf>
    <xf numFmtId="184" fontId="5" fillId="2" borderId="63" xfId="0" applyNumberFormat="1" applyFont="1" applyFill="1" applyBorder="1" applyAlignment="1">
      <alignment horizontal="center" vertical="center" shrinkToFit="1"/>
    </xf>
    <xf numFmtId="184" fontId="5" fillId="2" borderId="64" xfId="0" applyNumberFormat="1" applyFont="1" applyFill="1" applyBorder="1" applyAlignment="1">
      <alignment horizontal="center" vertical="center" shrinkToFit="1"/>
    </xf>
    <xf numFmtId="177" fontId="10" fillId="0" borderId="43" xfId="0" applyNumberFormat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66" xfId="0" applyFont="1" applyFill="1" applyBorder="1" applyAlignment="1">
      <alignment horizontal="center" vertical="center" shrinkToFit="1"/>
    </xf>
    <xf numFmtId="185" fontId="10" fillId="0" borderId="67" xfId="0" applyNumberFormat="1" applyFont="1" applyFill="1" applyBorder="1" applyAlignment="1">
      <alignment horizontal="center" vertical="center"/>
    </xf>
    <xf numFmtId="185" fontId="10" fillId="0" borderId="66" xfId="0" applyNumberFormat="1" applyFont="1" applyFill="1" applyBorder="1" applyAlignment="1">
      <alignment horizontal="center" vertical="center"/>
    </xf>
    <xf numFmtId="184" fontId="10" fillId="0" borderId="6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2" fontId="5" fillId="0" borderId="0" xfId="0" applyNumberFormat="1" applyFont="1" applyAlignment="1">
      <alignment horizontal="center" vertical="center"/>
    </xf>
    <xf numFmtId="182" fontId="10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9" fontId="8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82" fontId="8" fillId="0" borderId="0" xfId="0" applyNumberFormat="1" applyFont="1" applyAlignment="1">
      <alignment vertical="center"/>
    </xf>
    <xf numFmtId="20" fontId="7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20" fillId="4" borderId="69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184" fontId="5" fillId="2" borderId="73" xfId="0" applyNumberFormat="1" applyFont="1" applyFill="1" applyBorder="1" applyAlignment="1">
      <alignment horizontal="center" vertical="center" shrinkToFit="1"/>
    </xf>
    <xf numFmtId="184" fontId="5" fillId="2" borderId="74" xfId="0" applyNumberFormat="1" applyFont="1" applyFill="1" applyBorder="1" applyAlignment="1">
      <alignment horizontal="center" vertical="center" shrinkToFit="1"/>
    </xf>
    <xf numFmtId="0" fontId="10" fillId="0" borderId="75" xfId="0" applyNumberFormat="1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/>
    </xf>
    <xf numFmtId="0" fontId="10" fillId="3" borderId="78" xfId="0" applyNumberFormat="1" applyFont="1" applyFill="1" applyBorder="1" applyAlignment="1">
      <alignment horizontal="center" vertical="center" shrinkToFit="1"/>
    </xf>
    <xf numFmtId="188" fontId="10" fillId="0" borderId="78" xfId="0" applyNumberFormat="1" applyFont="1" applyFill="1" applyBorder="1" applyAlignment="1">
      <alignment horizontal="center" vertical="center"/>
    </xf>
    <xf numFmtId="186" fontId="10" fillId="5" borderId="79" xfId="0" applyNumberFormat="1" applyFont="1" applyFill="1" applyBorder="1" applyAlignment="1">
      <alignment vertical="center"/>
    </xf>
    <xf numFmtId="186" fontId="10" fillId="5" borderId="80" xfId="0" applyNumberFormat="1" applyFont="1" applyFill="1" applyBorder="1" applyAlignment="1">
      <alignment vertical="center"/>
    </xf>
    <xf numFmtId="189" fontId="10" fillId="5" borderId="80" xfId="0" applyNumberFormat="1" applyFont="1" applyFill="1" applyBorder="1" applyAlignment="1">
      <alignment horizontal="left" vertical="center"/>
    </xf>
    <xf numFmtId="189" fontId="10" fillId="5" borderId="81" xfId="0" applyNumberFormat="1" applyFont="1" applyFill="1" applyBorder="1" applyAlignment="1">
      <alignment horizontal="left" vertical="center"/>
    </xf>
    <xf numFmtId="184" fontId="5" fillId="2" borderId="82" xfId="0" applyNumberFormat="1" applyFont="1" applyFill="1" applyBorder="1" applyAlignment="1">
      <alignment horizontal="center" vertical="center" shrinkToFit="1"/>
    </xf>
    <xf numFmtId="184" fontId="5" fillId="3" borderId="83" xfId="0" applyNumberFormat="1" applyFont="1" applyFill="1" applyBorder="1" applyAlignment="1">
      <alignment horizontal="center" vertical="center" shrinkToFit="1"/>
    </xf>
    <xf numFmtId="184" fontId="10" fillId="3" borderId="83" xfId="0" applyNumberFormat="1" applyFont="1" applyFill="1" applyBorder="1" applyAlignment="1">
      <alignment horizontal="center" vertical="center" shrinkToFit="1"/>
    </xf>
    <xf numFmtId="184" fontId="10" fillId="2" borderId="83" xfId="0" applyNumberFormat="1" applyFont="1" applyFill="1" applyBorder="1" applyAlignment="1">
      <alignment horizontal="center" vertical="center" shrinkToFit="1"/>
    </xf>
    <xf numFmtId="187" fontId="10" fillId="6" borderId="73" xfId="0" applyNumberFormat="1" applyFont="1" applyFill="1" applyBorder="1" applyAlignment="1">
      <alignment horizontal="center" vertical="center" shrinkToFit="1"/>
    </xf>
    <xf numFmtId="187" fontId="10" fillId="6" borderId="74" xfId="0" applyNumberFormat="1" applyFont="1" applyFill="1" applyBorder="1" applyAlignment="1">
      <alignment horizontal="center" vertical="center" shrinkToFit="1"/>
    </xf>
    <xf numFmtId="187" fontId="10" fillId="6" borderId="84" xfId="0" applyNumberFormat="1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192" fontId="10" fillId="0" borderId="85" xfId="0" applyNumberFormat="1" applyFont="1" applyBorder="1" applyAlignment="1">
      <alignment horizontal="center" vertical="top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ritudaen_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805"/>
          <c:w val="0.8225"/>
          <c:h val="0.888"/>
        </c:manualLayout>
      </c:layout>
      <c:scatterChart>
        <c:scatterStyle val="lineMarker"/>
        <c:varyColors val="0"/>
        <c:ser>
          <c:idx val="5"/>
          <c:order val="0"/>
          <c:tx>
            <c:strRef>
              <c:f>Graph_Data!$F$7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Graph_Data!$D$11:$D$202</c:f>
              <c:numCache>
                <c:ptCount val="19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40613</c:v>
                </c:pt>
                <c:pt idx="61">
                  <c:v>55954</c:v>
                </c:pt>
                <c:pt idx="66">
                  <c:v>40613</c:v>
                </c:pt>
                <c:pt idx="67">
                  <c:v>40979</c:v>
                </c:pt>
                <c:pt idx="68">
                  <c:v>55954</c:v>
                </c:pt>
                <c:pt idx="70">
                  <c:v>40613</c:v>
                </c:pt>
                <c:pt idx="71">
                  <c:v>55954</c:v>
                </c:pt>
                <c:pt idx="73">
                  <c:v>40613</c:v>
                </c:pt>
                <c:pt idx="74">
                  <c:v>55954</c:v>
                </c:pt>
                <c:pt idx="76">
                  <c:v>40613</c:v>
                </c:pt>
                <c:pt idx="77">
                  <c:v>55954</c:v>
                </c:pt>
                <c:pt idx="79">
                  <c:v>40613</c:v>
                </c:pt>
                <c:pt idx="80">
                  <c:v>55954</c:v>
                </c:pt>
                <c:pt idx="82">
                  <c:v>40613</c:v>
                </c:pt>
                <c:pt idx="83">
                  <c:v>55954</c:v>
                </c:pt>
                <c:pt idx="85">
                  <c:v>40613</c:v>
                </c:pt>
                <c:pt idx="86">
                  <c:v>55954</c:v>
                </c:pt>
                <c:pt idx="88">
                  <c:v>40613</c:v>
                </c:pt>
                <c:pt idx="89">
                  <c:v>55954</c:v>
                </c:pt>
                <c:pt idx="91">
                  <c:v>40613</c:v>
                </c:pt>
                <c:pt idx="92">
                  <c:v>55954</c:v>
                </c:pt>
                <c:pt idx="94">
                  <c:v>40613</c:v>
                </c:pt>
                <c:pt idx="95">
                  <c:v>55954</c:v>
                </c:pt>
                <c:pt idx="97">
                  <c:v>40613</c:v>
                </c:pt>
                <c:pt idx="98">
                  <c:v>55954</c:v>
                </c:pt>
                <c:pt idx="100">
                  <c:v>40613</c:v>
                </c:pt>
                <c:pt idx="101">
                  <c:v>55954</c:v>
                </c:pt>
                <c:pt idx="103">
                  <c:v>40613</c:v>
                </c:pt>
                <c:pt idx="104">
                  <c:v>55954</c:v>
                </c:pt>
                <c:pt idx="106">
                  <c:v>40613</c:v>
                </c:pt>
                <c:pt idx="107">
                  <c:v>55954</c:v>
                </c:pt>
                <c:pt idx="109">
                  <c:v>40613</c:v>
                </c:pt>
                <c:pt idx="110">
                  <c:v>55954</c:v>
                </c:pt>
                <c:pt idx="112">
                  <c:v>40613</c:v>
                </c:pt>
                <c:pt idx="113">
                  <c:v>55954</c:v>
                </c:pt>
                <c:pt idx="115">
                  <c:v>40613</c:v>
                </c:pt>
                <c:pt idx="116">
                  <c:v>55954</c:v>
                </c:pt>
                <c:pt idx="118">
                  <c:v>40613</c:v>
                </c:pt>
                <c:pt idx="119">
                  <c:v>55954</c:v>
                </c:pt>
                <c:pt idx="121">
                  <c:v>40613</c:v>
                </c:pt>
                <c:pt idx="122">
                  <c:v>55954</c:v>
                </c:pt>
                <c:pt idx="124">
                  <c:v>40613</c:v>
                </c:pt>
                <c:pt idx="125">
                  <c:v>55954</c:v>
                </c:pt>
                <c:pt idx="127">
                  <c:v>40613</c:v>
                </c:pt>
                <c:pt idx="128">
                  <c:v>55954</c:v>
                </c:pt>
                <c:pt idx="130">
                  <c:v>40613</c:v>
                </c:pt>
                <c:pt idx="131">
                  <c:v>55954</c:v>
                </c:pt>
                <c:pt idx="133">
                  <c:v>40613</c:v>
                </c:pt>
                <c:pt idx="134">
                  <c:v>55954</c:v>
                </c:pt>
                <c:pt idx="136">
                  <c:v>40613</c:v>
                </c:pt>
                <c:pt idx="137">
                  <c:v>55954</c:v>
                </c:pt>
                <c:pt idx="139">
                  <c:v>40613</c:v>
                </c:pt>
                <c:pt idx="140">
                  <c:v>55954</c:v>
                </c:pt>
                <c:pt idx="142">
                  <c:v>40613</c:v>
                </c:pt>
                <c:pt idx="143">
                  <c:v>55954</c:v>
                </c:pt>
                <c:pt idx="145">
                  <c:v>40613</c:v>
                </c:pt>
                <c:pt idx="146">
                  <c:v>55954</c:v>
                </c:pt>
                <c:pt idx="148">
                  <c:v>40613</c:v>
                </c:pt>
                <c:pt idx="149">
                  <c:v>55954</c:v>
                </c:pt>
                <c:pt idx="151">
                  <c:v>40613</c:v>
                </c:pt>
                <c:pt idx="152">
                  <c:v>55954</c:v>
                </c:pt>
                <c:pt idx="154">
                  <c:v>40613</c:v>
                </c:pt>
                <c:pt idx="155">
                  <c:v>55954</c:v>
                </c:pt>
                <c:pt idx="157">
                  <c:v>40613</c:v>
                </c:pt>
                <c:pt idx="158">
                  <c:v>55954</c:v>
                </c:pt>
                <c:pt idx="160">
                  <c:v>40613</c:v>
                </c:pt>
                <c:pt idx="161">
                  <c:v>55954</c:v>
                </c:pt>
                <c:pt idx="163">
                  <c:v>40613</c:v>
                </c:pt>
                <c:pt idx="164">
                  <c:v>55954</c:v>
                </c:pt>
                <c:pt idx="166">
                  <c:v>40613</c:v>
                </c:pt>
                <c:pt idx="167">
                  <c:v>55954</c:v>
                </c:pt>
                <c:pt idx="169">
                  <c:v>40613</c:v>
                </c:pt>
                <c:pt idx="170">
                  <c:v>55954</c:v>
                </c:pt>
                <c:pt idx="172">
                  <c:v>40613</c:v>
                </c:pt>
                <c:pt idx="173">
                  <c:v>55954</c:v>
                </c:pt>
                <c:pt idx="175">
                  <c:v>40613</c:v>
                </c:pt>
                <c:pt idx="176">
                  <c:v>55954</c:v>
                </c:pt>
                <c:pt idx="178">
                  <c:v>40613</c:v>
                </c:pt>
                <c:pt idx="179">
                  <c:v>55954</c:v>
                </c:pt>
                <c:pt idx="181">
                  <c:v>40613</c:v>
                </c:pt>
                <c:pt idx="182">
                  <c:v>55954</c:v>
                </c:pt>
                <c:pt idx="184">
                  <c:v>40613</c:v>
                </c:pt>
                <c:pt idx="185">
                  <c:v>55954</c:v>
                </c:pt>
                <c:pt idx="187">
                  <c:v>40613</c:v>
                </c:pt>
                <c:pt idx="188">
                  <c:v>55954</c:v>
                </c:pt>
                <c:pt idx="190">
                  <c:v>40613</c:v>
                </c:pt>
                <c:pt idx="191">
                  <c:v>55954</c:v>
                </c:pt>
              </c:numCache>
            </c:numRef>
          </c:xVal>
          <c:yVal>
            <c:numRef>
              <c:f>Graph_Data!$F$11:$F$202</c:f>
              <c:numCache>
                <c:ptCount val="192"/>
                <c:pt idx="0">
                  <c:v>1.2594478720914102</c:v>
                </c:pt>
                <c:pt idx="15">
                  <c:v>1.2641606028679384</c:v>
                </c:pt>
                <c:pt idx="30">
                  <c:v>1.1937108212438337</c:v>
                </c:pt>
                <c:pt idx="45">
                  <c:v>1.126257859382997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Graph_Data!$I$9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Graph_Data!$D$11:$D$202</c:f>
              <c:numCache>
                <c:ptCount val="19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40613</c:v>
                </c:pt>
                <c:pt idx="61">
                  <c:v>55954</c:v>
                </c:pt>
                <c:pt idx="66">
                  <c:v>40613</c:v>
                </c:pt>
                <c:pt idx="67">
                  <c:v>40979</c:v>
                </c:pt>
                <c:pt idx="68">
                  <c:v>55954</c:v>
                </c:pt>
                <c:pt idx="70">
                  <c:v>40613</c:v>
                </c:pt>
                <c:pt idx="71">
                  <c:v>55954</c:v>
                </c:pt>
                <c:pt idx="73">
                  <c:v>40613</c:v>
                </c:pt>
                <c:pt idx="74">
                  <c:v>55954</c:v>
                </c:pt>
                <c:pt idx="76">
                  <c:v>40613</c:v>
                </c:pt>
                <c:pt idx="77">
                  <c:v>55954</c:v>
                </c:pt>
                <c:pt idx="79">
                  <c:v>40613</c:v>
                </c:pt>
                <c:pt idx="80">
                  <c:v>55954</c:v>
                </c:pt>
                <c:pt idx="82">
                  <c:v>40613</c:v>
                </c:pt>
                <c:pt idx="83">
                  <c:v>55954</c:v>
                </c:pt>
                <c:pt idx="85">
                  <c:v>40613</c:v>
                </c:pt>
                <c:pt idx="86">
                  <c:v>55954</c:v>
                </c:pt>
                <c:pt idx="88">
                  <c:v>40613</c:v>
                </c:pt>
                <c:pt idx="89">
                  <c:v>55954</c:v>
                </c:pt>
                <c:pt idx="91">
                  <c:v>40613</c:v>
                </c:pt>
                <c:pt idx="92">
                  <c:v>55954</c:v>
                </c:pt>
                <c:pt idx="94">
                  <c:v>40613</c:v>
                </c:pt>
                <c:pt idx="95">
                  <c:v>55954</c:v>
                </c:pt>
                <c:pt idx="97">
                  <c:v>40613</c:v>
                </c:pt>
                <c:pt idx="98">
                  <c:v>55954</c:v>
                </c:pt>
                <c:pt idx="100">
                  <c:v>40613</c:v>
                </c:pt>
                <c:pt idx="101">
                  <c:v>55954</c:v>
                </c:pt>
                <c:pt idx="103">
                  <c:v>40613</c:v>
                </c:pt>
                <c:pt idx="104">
                  <c:v>55954</c:v>
                </c:pt>
                <c:pt idx="106">
                  <c:v>40613</c:v>
                </c:pt>
                <c:pt idx="107">
                  <c:v>55954</c:v>
                </c:pt>
                <c:pt idx="109">
                  <c:v>40613</c:v>
                </c:pt>
                <c:pt idx="110">
                  <c:v>55954</c:v>
                </c:pt>
                <c:pt idx="112">
                  <c:v>40613</c:v>
                </c:pt>
                <c:pt idx="113">
                  <c:v>55954</c:v>
                </c:pt>
                <c:pt idx="115">
                  <c:v>40613</c:v>
                </c:pt>
                <c:pt idx="116">
                  <c:v>55954</c:v>
                </c:pt>
                <c:pt idx="118">
                  <c:v>40613</c:v>
                </c:pt>
                <c:pt idx="119">
                  <c:v>55954</c:v>
                </c:pt>
                <c:pt idx="121">
                  <c:v>40613</c:v>
                </c:pt>
                <c:pt idx="122">
                  <c:v>55954</c:v>
                </c:pt>
                <c:pt idx="124">
                  <c:v>40613</c:v>
                </c:pt>
                <c:pt idx="125">
                  <c:v>55954</c:v>
                </c:pt>
                <c:pt idx="127">
                  <c:v>40613</c:v>
                </c:pt>
                <c:pt idx="128">
                  <c:v>55954</c:v>
                </c:pt>
                <c:pt idx="130">
                  <c:v>40613</c:v>
                </c:pt>
                <c:pt idx="131">
                  <c:v>55954</c:v>
                </c:pt>
                <c:pt idx="133">
                  <c:v>40613</c:v>
                </c:pt>
                <c:pt idx="134">
                  <c:v>55954</c:v>
                </c:pt>
                <c:pt idx="136">
                  <c:v>40613</c:v>
                </c:pt>
                <c:pt idx="137">
                  <c:v>55954</c:v>
                </c:pt>
                <c:pt idx="139">
                  <c:v>40613</c:v>
                </c:pt>
                <c:pt idx="140">
                  <c:v>55954</c:v>
                </c:pt>
                <c:pt idx="142">
                  <c:v>40613</c:v>
                </c:pt>
                <c:pt idx="143">
                  <c:v>55954</c:v>
                </c:pt>
                <c:pt idx="145">
                  <c:v>40613</c:v>
                </c:pt>
                <c:pt idx="146">
                  <c:v>55954</c:v>
                </c:pt>
                <c:pt idx="148">
                  <c:v>40613</c:v>
                </c:pt>
                <c:pt idx="149">
                  <c:v>55954</c:v>
                </c:pt>
                <c:pt idx="151">
                  <c:v>40613</c:v>
                </c:pt>
                <c:pt idx="152">
                  <c:v>55954</c:v>
                </c:pt>
                <c:pt idx="154">
                  <c:v>40613</c:v>
                </c:pt>
                <c:pt idx="155">
                  <c:v>55954</c:v>
                </c:pt>
                <c:pt idx="157">
                  <c:v>40613</c:v>
                </c:pt>
                <c:pt idx="158">
                  <c:v>55954</c:v>
                </c:pt>
                <c:pt idx="160">
                  <c:v>40613</c:v>
                </c:pt>
                <c:pt idx="161">
                  <c:v>55954</c:v>
                </c:pt>
                <c:pt idx="163">
                  <c:v>40613</c:v>
                </c:pt>
                <c:pt idx="164">
                  <c:v>55954</c:v>
                </c:pt>
                <c:pt idx="166">
                  <c:v>40613</c:v>
                </c:pt>
                <c:pt idx="167">
                  <c:v>55954</c:v>
                </c:pt>
                <c:pt idx="169">
                  <c:v>40613</c:v>
                </c:pt>
                <c:pt idx="170">
                  <c:v>55954</c:v>
                </c:pt>
                <c:pt idx="172">
                  <c:v>40613</c:v>
                </c:pt>
                <c:pt idx="173">
                  <c:v>55954</c:v>
                </c:pt>
                <c:pt idx="175">
                  <c:v>40613</c:v>
                </c:pt>
                <c:pt idx="176">
                  <c:v>55954</c:v>
                </c:pt>
                <c:pt idx="178">
                  <c:v>40613</c:v>
                </c:pt>
                <c:pt idx="179">
                  <c:v>55954</c:v>
                </c:pt>
                <c:pt idx="181">
                  <c:v>40613</c:v>
                </c:pt>
                <c:pt idx="182">
                  <c:v>55954</c:v>
                </c:pt>
                <c:pt idx="184">
                  <c:v>40613</c:v>
                </c:pt>
                <c:pt idx="185">
                  <c:v>55954</c:v>
                </c:pt>
                <c:pt idx="187">
                  <c:v>40613</c:v>
                </c:pt>
                <c:pt idx="188">
                  <c:v>55954</c:v>
                </c:pt>
                <c:pt idx="190">
                  <c:v>40613</c:v>
                </c:pt>
                <c:pt idx="191">
                  <c:v>55954</c:v>
                </c:pt>
              </c:numCache>
            </c:numRef>
          </c:xVal>
          <c:yVal>
            <c:numRef>
              <c:f>Graph_Data!$I$11:$I$202</c:f>
              <c:numCache>
                <c:ptCount val="192"/>
                <c:pt idx="76">
                  <c:v>-1.6989700043360187</c:v>
                </c:pt>
                <c:pt idx="77">
                  <c:v>-1.6989700043360187</c:v>
                </c:pt>
                <c:pt idx="79">
                  <c:v>-1.5228787452803376</c:v>
                </c:pt>
                <c:pt idx="80">
                  <c:v>-1.5228787452803376</c:v>
                </c:pt>
                <c:pt idx="82">
                  <c:v>-1.3979400086720375</c:v>
                </c:pt>
                <c:pt idx="83">
                  <c:v>-1.3979400086720375</c:v>
                </c:pt>
                <c:pt idx="88">
                  <c:v>-1.2218487496163564</c:v>
                </c:pt>
                <c:pt idx="89">
                  <c:v>-1.2218487496163564</c:v>
                </c:pt>
                <c:pt idx="91">
                  <c:v>-1.154901959985743</c:v>
                </c:pt>
                <c:pt idx="92">
                  <c:v>-1.154901959985743</c:v>
                </c:pt>
                <c:pt idx="94">
                  <c:v>-1.0969100130080565</c:v>
                </c:pt>
                <c:pt idx="95">
                  <c:v>-1.0969100130080565</c:v>
                </c:pt>
                <c:pt idx="97">
                  <c:v>-1.0457574905606752</c:v>
                </c:pt>
                <c:pt idx="98">
                  <c:v>-1.0457574905606752</c:v>
                </c:pt>
                <c:pt idx="106">
                  <c:v>-0.6989700043360187</c:v>
                </c:pt>
                <c:pt idx="107">
                  <c:v>-0.6989700043360187</c:v>
                </c:pt>
                <c:pt idx="109">
                  <c:v>-0.5228787452803376</c:v>
                </c:pt>
                <c:pt idx="110">
                  <c:v>-0.5228787452803376</c:v>
                </c:pt>
                <c:pt idx="112">
                  <c:v>-0.3979400086720376</c:v>
                </c:pt>
                <c:pt idx="113">
                  <c:v>-0.3979400086720376</c:v>
                </c:pt>
                <c:pt idx="118">
                  <c:v>-0.2218487496163563</c:v>
                </c:pt>
                <c:pt idx="119">
                  <c:v>-0.2218487496163563</c:v>
                </c:pt>
                <c:pt idx="121">
                  <c:v>-0.15490195998574313</c:v>
                </c:pt>
                <c:pt idx="122">
                  <c:v>-0.15490195998574313</c:v>
                </c:pt>
                <c:pt idx="124">
                  <c:v>-0.09691001300805639</c:v>
                </c:pt>
                <c:pt idx="125">
                  <c:v>-0.09691001300805639</c:v>
                </c:pt>
                <c:pt idx="127">
                  <c:v>-0.04575749056067517</c:v>
                </c:pt>
                <c:pt idx="128">
                  <c:v>-0.04575749056067517</c:v>
                </c:pt>
                <c:pt idx="136">
                  <c:v>0.3010299956639812</c:v>
                </c:pt>
                <c:pt idx="137">
                  <c:v>0.3010299956639812</c:v>
                </c:pt>
                <c:pt idx="139">
                  <c:v>0.47712125471966244</c:v>
                </c:pt>
                <c:pt idx="140">
                  <c:v>0.47712125471966244</c:v>
                </c:pt>
                <c:pt idx="142">
                  <c:v>0.6020599913279624</c:v>
                </c:pt>
                <c:pt idx="143">
                  <c:v>0.6020599913279624</c:v>
                </c:pt>
                <c:pt idx="148">
                  <c:v>0.7781512503836437</c:v>
                </c:pt>
                <c:pt idx="149">
                  <c:v>0.7781512503836437</c:v>
                </c:pt>
                <c:pt idx="151">
                  <c:v>0.8450980400142569</c:v>
                </c:pt>
                <c:pt idx="152">
                  <c:v>0.8450980400142569</c:v>
                </c:pt>
                <c:pt idx="154">
                  <c:v>0.9030899869919435</c:v>
                </c:pt>
                <c:pt idx="155">
                  <c:v>0.9030899869919435</c:v>
                </c:pt>
                <c:pt idx="157">
                  <c:v>0.9542425094393249</c:v>
                </c:pt>
                <c:pt idx="158">
                  <c:v>0.9542425094393249</c:v>
                </c:pt>
                <c:pt idx="166">
                  <c:v>1.3010299956639813</c:v>
                </c:pt>
                <c:pt idx="167">
                  <c:v>1.3010299956639813</c:v>
                </c:pt>
                <c:pt idx="169">
                  <c:v>1.4771212547196624</c:v>
                </c:pt>
                <c:pt idx="170">
                  <c:v>1.4771212547196624</c:v>
                </c:pt>
                <c:pt idx="172">
                  <c:v>1.6020599913279623</c:v>
                </c:pt>
                <c:pt idx="173">
                  <c:v>1.6020599913279623</c:v>
                </c:pt>
                <c:pt idx="178">
                  <c:v>1.7781512503836436</c:v>
                </c:pt>
                <c:pt idx="179">
                  <c:v>1.7781512503836436</c:v>
                </c:pt>
                <c:pt idx="181">
                  <c:v>1.845098040014257</c:v>
                </c:pt>
                <c:pt idx="182">
                  <c:v>1.845098040014257</c:v>
                </c:pt>
                <c:pt idx="184">
                  <c:v>1.9030899869919435</c:v>
                </c:pt>
                <c:pt idx="185">
                  <c:v>1.9030899869919435</c:v>
                </c:pt>
                <c:pt idx="187">
                  <c:v>1.954242509439325</c:v>
                </c:pt>
                <c:pt idx="188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Graph_Data!$J$9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Graph_Data!$D$11:$D$202</c:f>
              <c:numCache>
                <c:ptCount val="19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40613</c:v>
                </c:pt>
                <c:pt idx="61">
                  <c:v>55954</c:v>
                </c:pt>
                <c:pt idx="66">
                  <c:v>40613</c:v>
                </c:pt>
                <c:pt idx="67">
                  <c:v>40979</c:v>
                </c:pt>
                <c:pt idx="68">
                  <c:v>55954</c:v>
                </c:pt>
                <c:pt idx="70">
                  <c:v>40613</c:v>
                </c:pt>
                <c:pt idx="71">
                  <c:v>55954</c:v>
                </c:pt>
                <c:pt idx="73">
                  <c:v>40613</c:v>
                </c:pt>
                <c:pt idx="74">
                  <c:v>55954</c:v>
                </c:pt>
                <c:pt idx="76">
                  <c:v>40613</c:v>
                </c:pt>
                <c:pt idx="77">
                  <c:v>55954</c:v>
                </c:pt>
                <c:pt idx="79">
                  <c:v>40613</c:v>
                </c:pt>
                <c:pt idx="80">
                  <c:v>55954</c:v>
                </c:pt>
                <c:pt idx="82">
                  <c:v>40613</c:v>
                </c:pt>
                <c:pt idx="83">
                  <c:v>55954</c:v>
                </c:pt>
                <c:pt idx="85">
                  <c:v>40613</c:v>
                </c:pt>
                <c:pt idx="86">
                  <c:v>55954</c:v>
                </c:pt>
                <c:pt idx="88">
                  <c:v>40613</c:v>
                </c:pt>
                <c:pt idx="89">
                  <c:v>55954</c:v>
                </c:pt>
                <c:pt idx="91">
                  <c:v>40613</c:v>
                </c:pt>
                <c:pt idx="92">
                  <c:v>55954</c:v>
                </c:pt>
                <c:pt idx="94">
                  <c:v>40613</c:v>
                </c:pt>
                <c:pt idx="95">
                  <c:v>55954</c:v>
                </c:pt>
                <c:pt idx="97">
                  <c:v>40613</c:v>
                </c:pt>
                <c:pt idx="98">
                  <c:v>55954</c:v>
                </c:pt>
                <c:pt idx="100">
                  <c:v>40613</c:v>
                </c:pt>
                <c:pt idx="101">
                  <c:v>55954</c:v>
                </c:pt>
                <c:pt idx="103">
                  <c:v>40613</c:v>
                </c:pt>
                <c:pt idx="104">
                  <c:v>55954</c:v>
                </c:pt>
                <c:pt idx="106">
                  <c:v>40613</c:v>
                </c:pt>
                <c:pt idx="107">
                  <c:v>55954</c:v>
                </c:pt>
                <c:pt idx="109">
                  <c:v>40613</c:v>
                </c:pt>
                <c:pt idx="110">
                  <c:v>55954</c:v>
                </c:pt>
                <c:pt idx="112">
                  <c:v>40613</c:v>
                </c:pt>
                <c:pt idx="113">
                  <c:v>55954</c:v>
                </c:pt>
                <c:pt idx="115">
                  <c:v>40613</c:v>
                </c:pt>
                <c:pt idx="116">
                  <c:v>55954</c:v>
                </c:pt>
                <c:pt idx="118">
                  <c:v>40613</c:v>
                </c:pt>
                <c:pt idx="119">
                  <c:v>55954</c:v>
                </c:pt>
                <c:pt idx="121">
                  <c:v>40613</c:v>
                </c:pt>
                <c:pt idx="122">
                  <c:v>55954</c:v>
                </c:pt>
                <c:pt idx="124">
                  <c:v>40613</c:v>
                </c:pt>
                <c:pt idx="125">
                  <c:v>55954</c:v>
                </c:pt>
                <c:pt idx="127">
                  <c:v>40613</c:v>
                </c:pt>
                <c:pt idx="128">
                  <c:v>55954</c:v>
                </c:pt>
                <c:pt idx="130">
                  <c:v>40613</c:v>
                </c:pt>
                <c:pt idx="131">
                  <c:v>55954</c:v>
                </c:pt>
                <c:pt idx="133">
                  <c:v>40613</c:v>
                </c:pt>
                <c:pt idx="134">
                  <c:v>55954</c:v>
                </c:pt>
                <c:pt idx="136">
                  <c:v>40613</c:v>
                </c:pt>
                <c:pt idx="137">
                  <c:v>55954</c:v>
                </c:pt>
                <c:pt idx="139">
                  <c:v>40613</c:v>
                </c:pt>
                <c:pt idx="140">
                  <c:v>55954</c:v>
                </c:pt>
                <c:pt idx="142">
                  <c:v>40613</c:v>
                </c:pt>
                <c:pt idx="143">
                  <c:v>55954</c:v>
                </c:pt>
                <c:pt idx="145">
                  <c:v>40613</c:v>
                </c:pt>
                <c:pt idx="146">
                  <c:v>55954</c:v>
                </c:pt>
                <c:pt idx="148">
                  <c:v>40613</c:v>
                </c:pt>
                <c:pt idx="149">
                  <c:v>55954</c:v>
                </c:pt>
                <c:pt idx="151">
                  <c:v>40613</c:v>
                </c:pt>
                <c:pt idx="152">
                  <c:v>55954</c:v>
                </c:pt>
                <c:pt idx="154">
                  <c:v>40613</c:v>
                </c:pt>
                <c:pt idx="155">
                  <c:v>55954</c:v>
                </c:pt>
                <c:pt idx="157">
                  <c:v>40613</c:v>
                </c:pt>
                <c:pt idx="158">
                  <c:v>55954</c:v>
                </c:pt>
                <c:pt idx="160">
                  <c:v>40613</c:v>
                </c:pt>
                <c:pt idx="161">
                  <c:v>55954</c:v>
                </c:pt>
                <c:pt idx="163">
                  <c:v>40613</c:v>
                </c:pt>
                <c:pt idx="164">
                  <c:v>55954</c:v>
                </c:pt>
                <c:pt idx="166">
                  <c:v>40613</c:v>
                </c:pt>
                <c:pt idx="167">
                  <c:v>55954</c:v>
                </c:pt>
                <c:pt idx="169">
                  <c:v>40613</c:v>
                </c:pt>
                <c:pt idx="170">
                  <c:v>55954</c:v>
                </c:pt>
                <c:pt idx="172">
                  <c:v>40613</c:v>
                </c:pt>
                <c:pt idx="173">
                  <c:v>55954</c:v>
                </c:pt>
                <c:pt idx="175">
                  <c:v>40613</c:v>
                </c:pt>
                <c:pt idx="176">
                  <c:v>55954</c:v>
                </c:pt>
                <c:pt idx="178">
                  <c:v>40613</c:v>
                </c:pt>
                <c:pt idx="179">
                  <c:v>55954</c:v>
                </c:pt>
                <c:pt idx="181">
                  <c:v>40613</c:v>
                </c:pt>
                <c:pt idx="182">
                  <c:v>55954</c:v>
                </c:pt>
                <c:pt idx="184">
                  <c:v>40613</c:v>
                </c:pt>
                <c:pt idx="185">
                  <c:v>55954</c:v>
                </c:pt>
                <c:pt idx="187">
                  <c:v>40613</c:v>
                </c:pt>
                <c:pt idx="188">
                  <c:v>55954</c:v>
                </c:pt>
                <c:pt idx="190">
                  <c:v>40613</c:v>
                </c:pt>
                <c:pt idx="191">
                  <c:v>55954</c:v>
                </c:pt>
              </c:numCache>
            </c:numRef>
          </c:xVal>
          <c:yVal>
            <c:numRef>
              <c:f>Graph_Data!$J$11:$J$202</c:f>
              <c:numCache>
                <c:ptCount val="192"/>
                <c:pt idx="70">
                  <c:v>-2</c:v>
                </c:pt>
                <c:pt idx="71">
                  <c:v>-2</c:v>
                </c:pt>
                <c:pt idx="85">
                  <c:v>-1.3010299956639813</c:v>
                </c:pt>
                <c:pt idx="86">
                  <c:v>-1.3010299956639813</c:v>
                </c:pt>
                <c:pt idx="100">
                  <c:v>-1</c:v>
                </c:pt>
                <c:pt idx="101">
                  <c:v>-1</c:v>
                </c:pt>
                <c:pt idx="115">
                  <c:v>-0.3010299956639812</c:v>
                </c:pt>
                <c:pt idx="116">
                  <c:v>-0.3010299956639812</c:v>
                </c:pt>
                <c:pt idx="130">
                  <c:v>0</c:v>
                </c:pt>
                <c:pt idx="131">
                  <c:v>0</c:v>
                </c:pt>
                <c:pt idx="145">
                  <c:v>0.6989700043360189</c:v>
                </c:pt>
                <c:pt idx="146">
                  <c:v>0.6989700043360189</c:v>
                </c:pt>
                <c:pt idx="160">
                  <c:v>1</c:v>
                </c:pt>
                <c:pt idx="161">
                  <c:v>1</c:v>
                </c:pt>
                <c:pt idx="175">
                  <c:v>1.6989700043360187</c:v>
                </c:pt>
                <c:pt idx="176">
                  <c:v>1.6989700043360187</c:v>
                </c:pt>
                <c:pt idx="190">
                  <c:v>2</c:v>
                </c:pt>
                <c:pt idx="191">
                  <c:v>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Graph_Data!$H$7</c:f>
              <c:strCache>
                <c:ptCount val="1"/>
                <c:pt idx="0">
                  <c:v>周辺_1m近似直線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Graph_Data!$D$11:$D$202</c:f>
              <c:numCache>
                <c:ptCount val="19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40613</c:v>
                </c:pt>
                <c:pt idx="61">
                  <c:v>55954</c:v>
                </c:pt>
                <c:pt idx="66">
                  <c:v>40613</c:v>
                </c:pt>
                <c:pt idx="67">
                  <c:v>40979</c:v>
                </c:pt>
                <c:pt idx="68">
                  <c:v>55954</c:v>
                </c:pt>
                <c:pt idx="70">
                  <c:v>40613</c:v>
                </c:pt>
                <c:pt idx="71">
                  <c:v>55954</c:v>
                </c:pt>
                <c:pt idx="73">
                  <c:v>40613</c:v>
                </c:pt>
                <c:pt idx="74">
                  <c:v>55954</c:v>
                </c:pt>
                <c:pt idx="76">
                  <c:v>40613</c:v>
                </c:pt>
                <c:pt idx="77">
                  <c:v>55954</c:v>
                </c:pt>
                <c:pt idx="79">
                  <c:v>40613</c:v>
                </c:pt>
                <c:pt idx="80">
                  <c:v>55954</c:v>
                </c:pt>
                <c:pt idx="82">
                  <c:v>40613</c:v>
                </c:pt>
                <c:pt idx="83">
                  <c:v>55954</c:v>
                </c:pt>
                <c:pt idx="85">
                  <c:v>40613</c:v>
                </c:pt>
                <c:pt idx="86">
                  <c:v>55954</c:v>
                </c:pt>
                <c:pt idx="88">
                  <c:v>40613</c:v>
                </c:pt>
                <c:pt idx="89">
                  <c:v>55954</c:v>
                </c:pt>
                <c:pt idx="91">
                  <c:v>40613</c:v>
                </c:pt>
                <c:pt idx="92">
                  <c:v>55954</c:v>
                </c:pt>
                <c:pt idx="94">
                  <c:v>40613</c:v>
                </c:pt>
                <c:pt idx="95">
                  <c:v>55954</c:v>
                </c:pt>
                <c:pt idx="97">
                  <c:v>40613</c:v>
                </c:pt>
                <c:pt idx="98">
                  <c:v>55954</c:v>
                </c:pt>
                <c:pt idx="100">
                  <c:v>40613</c:v>
                </c:pt>
                <c:pt idx="101">
                  <c:v>55954</c:v>
                </c:pt>
                <c:pt idx="103">
                  <c:v>40613</c:v>
                </c:pt>
                <c:pt idx="104">
                  <c:v>55954</c:v>
                </c:pt>
                <c:pt idx="106">
                  <c:v>40613</c:v>
                </c:pt>
                <c:pt idx="107">
                  <c:v>55954</c:v>
                </c:pt>
                <c:pt idx="109">
                  <c:v>40613</c:v>
                </c:pt>
                <c:pt idx="110">
                  <c:v>55954</c:v>
                </c:pt>
                <c:pt idx="112">
                  <c:v>40613</c:v>
                </c:pt>
                <c:pt idx="113">
                  <c:v>55954</c:v>
                </c:pt>
                <c:pt idx="115">
                  <c:v>40613</c:v>
                </c:pt>
                <c:pt idx="116">
                  <c:v>55954</c:v>
                </c:pt>
                <c:pt idx="118">
                  <c:v>40613</c:v>
                </c:pt>
                <c:pt idx="119">
                  <c:v>55954</c:v>
                </c:pt>
                <c:pt idx="121">
                  <c:v>40613</c:v>
                </c:pt>
                <c:pt idx="122">
                  <c:v>55954</c:v>
                </c:pt>
                <c:pt idx="124">
                  <c:v>40613</c:v>
                </c:pt>
                <c:pt idx="125">
                  <c:v>55954</c:v>
                </c:pt>
                <c:pt idx="127">
                  <c:v>40613</c:v>
                </c:pt>
                <c:pt idx="128">
                  <c:v>55954</c:v>
                </c:pt>
                <c:pt idx="130">
                  <c:v>40613</c:v>
                </c:pt>
                <c:pt idx="131">
                  <c:v>55954</c:v>
                </c:pt>
                <c:pt idx="133">
                  <c:v>40613</c:v>
                </c:pt>
                <c:pt idx="134">
                  <c:v>55954</c:v>
                </c:pt>
                <c:pt idx="136">
                  <c:v>40613</c:v>
                </c:pt>
                <c:pt idx="137">
                  <c:v>55954</c:v>
                </c:pt>
                <c:pt idx="139">
                  <c:v>40613</c:v>
                </c:pt>
                <c:pt idx="140">
                  <c:v>55954</c:v>
                </c:pt>
                <c:pt idx="142">
                  <c:v>40613</c:v>
                </c:pt>
                <c:pt idx="143">
                  <c:v>55954</c:v>
                </c:pt>
                <c:pt idx="145">
                  <c:v>40613</c:v>
                </c:pt>
                <c:pt idx="146">
                  <c:v>55954</c:v>
                </c:pt>
                <c:pt idx="148">
                  <c:v>40613</c:v>
                </c:pt>
                <c:pt idx="149">
                  <c:v>55954</c:v>
                </c:pt>
                <c:pt idx="151">
                  <c:v>40613</c:v>
                </c:pt>
                <c:pt idx="152">
                  <c:v>55954</c:v>
                </c:pt>
                <c:pt idx="154">
                  <c:v>40613</c:v>
                </c:pt>
                <c:pt idx="155">
                  <c:v>55954</c:v>
                </c:pt>
                <c:pt idx="157">
                  <c:v>40613</c:v>
                </c:pt>
                <c:pt idx="158">
                  <c:v>55954</c:v>
                </c:pt>
                <c:pt idx="160">
                  <c:v>40613</c:v>
                </c:pt>
                <c:pt idx="161">
                  <c:v>55954</c:v>
                </c:pt>
                <c:pt idx="163">
                  <c:v>40613</c:v>
                </c:pt>
                <c:pt idx="164">
                  <c:v>55954</c:v>
                </c:pt>
                <c:pt idx="166">
                  <c:v>40613</c:v>
                </c:pt>
                <c:pt idx="167">
                  <c:v>55954</c:v>
                </c:pt>
                <c:pt idx="169">
                  <c:v>40613</c:v>
                </c:pt>
                <c:pt idx="170">
                  <c:v>55954</c:v>
                </c:pt>
                <c:pt idx="172">
                  <c:v>40613</c:v>
                </c:pt>
                <c:pt idx="173">
                  <c:v>55954</c:v>
                </c:pt>
                <c:pt idx="175">
                  <c:v>40613</c:v>
                </c:pt>
                <c:pt idx="176">
                  <c:v>55954</c:v>
                </c:pt>
                <c:pt idx="178">
                  <c:v>40613</c:v>
                </c:pt>
                <c:pt idx="179">
                  <c:v>55954</c:v>
                </c:pt>
                <c:pt idx="181">
                  <c:v>40613</c:v>
                </c:pt>
                <c:pt idx="182">
                  <c:v>55954</c:v>
                </c:pt>
                <c:pt idx="184">
                  <c:v>40613</c:v>
                </c:pt>
                <c:pt idx="185">
                  <c:v>55954</c:v>
                </c:pt>
                <c:pt idx="187">
                  <c:v>40613</c:v>
                </c:pt>
                <c:pt idx="188">
                  <c:v>55954</c:v>
                </c:pt>
                <c:pt idx="190">
                  <c:v>40613</c:v>
                </c:pt>
                <c:pt idx="191">
                  <c:v>55954</c:v>
                </c:pt>
              </c:numCache>
            </c:numRef>
          </c:xVal>
          <c:yVal>
            <c:numRef>
              <c:f>Graph_Data!$H$11:$H$202</c:f>
              <c:numCache>
                <c:ptCount val="192"/>
                <c:pt idx="60">
                  <c:v>1.3136256345208641</c:v>
                </c:pt>
                <c:pt idx="61">
                  <c:v>-3.0945970576394313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Graph_Data!$K$9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Graph_Data!$D$11:$D$202</c:f>
              <c:numCache>
                <c:ptCount val="19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40613</c:v>
                </c:pt>
                <c:pt idx="61">
                  <c:v>55954</c:v>
                </c:pt>
                <c:pt idx="66">
                  <c:v>40613</c:v>
                </c:pt>
                <c:pt idx="67">
                  <c:v>40979</c:v>
                </c:pt>
                <c:pt idx="68">
                  <c:v>55954</c:v>
                </c:pt>
                <c:pt idx="70">
                  <c:v>40613</c:v>
                </c:pt>
                <c:pt idx="71">
                  <c:v>55954</c:v>
                </c:pt>
                <c:pt idx="73">
                  <c:v>40613</c:v>
                </c:pt>
                <c:pt idx="74">
                  <c:v>55954</c:v>
                </c:pt>
                <c:pt idx="76">
                  <c:v>40613</c:v>
                </c:pt>
                <c:pt idx="77">
                  <c:v>55954</c:v>
                </c:pt>
                <c:pt idx="79">
                  <c:v>40613</c:v>
                </c:pt>
                <c:pt idx="80">
                  <c:v>55954</c:v>
                </c:pt>
                <c:pt idx="82">
                  <c:v>40613</c:v>
                </c:pt>
                <c:pt idx="83">
                  <c:v>55954</c:v>
                </c:pt>
                <c:pt idx="85">
                  <c:v>40613</c:v>
                </c:pt>
                <c:pt idx="86">
                  <c:v>55954</c:v>
                </c:pt>
                <c:pt idx="88">
                  <c:v>40613</c:v>
                </c:pt>
                <c:pt idx="89">
                  <c:v>55954</c:v>
                </c:pt>
                <c:pt idx="91">
                  <c:v>40613</c:v>
                </c:pt>
                <c:pt idx="92">
                  <c:v>55954</c:v>
                </c:pt>
                <c:pt idx="94">
                  <c:v>40613</c:v>
                </c:pt>
                <c:pt idx="95">
                  <c:v>55954</c:v>
                </c:pt>
                <c:pt idx="97">
                  <c:v>40613</c:v>
                </c:pt>
                <c:pt idx="98">
                  <c:v>55954</c:v>
                </c:pt>
                <c:pt idx="100">
                  <c:v>40613</c:v>
                </c:pt>
                <c:pt idx="101">
                  <c:v>55954</c:v>
                </c:pt>
                <c:pt idx="103">
                  <c:v>40613</c:v>
                </c:pt>
                <c:pt idx="104">
                  <c:v>55954</c:v>
                </c:pt>
                <c:pt idx="106">
                  <c:v>40613</c:v>
                </c:pt>
                <c:pt idx="107">
                  <c:v>55954</c:v>
                </c:pt>
                <c:pt idx="109">
                  <c:v>40613</c:v>
                </c:pt>
                <c:pt idx="110">
                  <c:v>55954</c:v>
                </c:pt>
                <c:pt idx="112">
                  <c:v>40613</c:v>
                </c:pt>
                <c:pt idx="113">
                  <c:v>55954</c:v>
                </c:pt>
                <c:pt idx="115">
                  <c:v>40613</c:v>
                </c:pt>
                <c:pt idx="116">
                  <c:v>55954</c:v>
                </c:pt>
                <c:pt idx="118">
                  <c:v>40613</c:v>
                </c:pt>
                <c:pt idx="119">
                  <c:v>55954</c:v>
                </c:pt>
                <c:pt idx="121">
                  <c:v>40613</c:v>
                </c:pt>
                <c:pt idx="122">
                  <c:v>55954</c:v>
                </c:pt>
                <c:pt idx="124">
                  <c:v>40613</c:v>
                </c:pt>
                <c:pt idx="125">
                  <c:v>55954</c:v>
                </c:pt>
                <c:pt idx="127">
                  <c:v>40613</c:v>
                </c:pt>
                <c:pt idx="128">
                  <c:v>55954</c:v>
                </c:pt>
                <c:pt idx="130">
                  <c:v>40613</c:v>
                </c:pt>
                <c:pt idx="131">
                  <c:v>55954</c:v>
                </c:pt>
                <c:pt idx="133">
                  <c:v>40613</c:v>
                </c:pt>
                <c:pt idx="134">
                  <c:v>55954</c:v>
                </c:pt>
                <c:pt idx="136">
                  <c:v>40613</c:v>
                </c:pt>
                <c:pt idx="137">
                  <c:v>55954</c:v>
                </c:pt>
                <c:pt idx="139">
                  <c:v>40613</c:v>
                </c:pt>
                <c:pt idx="140">
                  <c:v>55954</c:v>
                </c:pt>
                <c:pt idx="142">
                  <c:v>40613</c:v>
                </c:pt>
                <c:pt idx="143">
                  <c:v>55954</c:v>
                </c:pt>
                <c:pt idx="145">
                  <c:v>40613</c:v>
                </c:pt>
                <c:pt idx="146">
                  <c:v>55954</c:v>
                </c:pt>
                <c:pt idx="148">
                  <c:v>40613</c:v>
                </c:pt>
                <c:pt idx="149">
                  <c:v>55954</c:v>
                </c:pt>
                <c:pt idx="151">
                  <c:v>40613</c:v>
                </c:pt>
                <c:pt idx="152">
                  <c:v>55954</c:v>
                </c:pt>
                <c:pt idx="154">
                  <c:v>40613</c:v>
                </c:pt>
                <c:pt idx="155">
                  <c:v>55954</c:v>
                </c:pt>
                <c:pt idx="157">
                  <c:v>40613</c:v>
                </c:pt>
                <c:pt idx="158">
                  <c:v>55954</c:v>
                </c:pt>
                <c:pt idx="160">
                  <c:v>40613</c:v>
                </c:pt>
                <c:pt idx="161">
                  <c:v>55954</c:v>
                </c:pt>
                <c:pt idx="163">
                  <c:v>40613</c:v>
                </c:pt>
                <c:pt idx="164">
                  <c:v>55954</c:v>
                </c:pt>
                <c:pt idx="166">
                  <c:v>40613</c:v>
                </c:pt>
                <c:pt idx="167">
                  <c:v>55954</c:v>
                </c:pt>
                <c:pt idx="169">
                  <c:v>40613</c:v>
                </c:pt>
                <c:pt idx="170">
                  <c:v>55954</c:v>
                </c:pt>
                <c:pt idx="172">
                  <c:v>40613</c:v>
                </c:pt>
                <c:pt idx="173">
                  <c:v>55954</c:v>
                </c:pt>
                <c:pt idx="175">
                  <c:v>40613</c:v>
                </c:pt>
                <c:pt idx="176">
                  <c:v>55954</c:v>
                </c:pt>
                <c:pt idx="178">
                  <c:v>40613</c:v>
                </c:pt>
                <c:pt idx="179">
                  <c:v>55954</c:v>
                </c:pt>
                <c:pt idx="181">
                  <c:v>40613</c:v>
                </c:pt>
                <c:pt idx="182">
                  <c:v>55954</c:v>
                </c:pt>
                <c:pt idx="184">
                  <c:v>40613</c:v>
                </c:pt>
                <c:pt idx="185">
                  <c:v>55954</c:v>
                </c:pt>
                <c:pt idx="187">
                  <c:v>40613</c:v>
                </c:pt>
                <c:pt idx="188">
                  <c:v>55954</c:v>
                </c:pt>
                <c:pt idx="190">
                  <c:v>40613</c:v>
                </c:pt>
                <c:pt idx="191">
                  <c:v>55954</c:v>
                </c:pt>
              </c:numCache>
            </c:numRef>
          </c:xVal>
          <c:yVal>
            <c:numRef>
              <c:f>Graph_Data!$K$11:$K$202</c:f>
              <c:numCache>
                <c:ptCount val="192"/>
                <c:pt idx="73">
                  <c:v>-1.8239087409443189</c:v>
                </c:pt>
                <c:pt idx="74">
                  <c:v>-1.8239087409443189</c:v>
                </c:pt>
                <c:pt idx="103">
                  <c:v>-0.8239087409443188</c:v>
                </c:pt>
                <c:pt idx="104">
                  <c:v>-0.8239087409443188</c:v>
                </c:pt>
                <c:pt idx="133">
                  <c:v>0.17609125905568124</c:v>
                </c:pt>
                <c:pt idx="134">
                  <c:v>0.17609125905568124</c:v>
                </c:pt>
                <c:pt idx="163">
                  <c:v>1.1760912590556813</c:v>
                </c:pt>
                <c:pt idx="164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Graph_Data!$G$7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Graph_Data!$D$11:$D$202</c:f>
              <c:numCache>
                <c:ptCount val="192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40613</c:v>
                </c:pt>
                <c:pt idx="61">
                  <c:v>55954</c:v>
                </c:pt>
                <c:pt idx="66">
                  <c:v>40613</c:v>
                </c:pt>
                <c:pt idx="67">
                  <c:v>40979</c:v>
                </c:pt>
                <c:pt idx="68">
                  <c:v>55954</c:v>
                </c:pt>
                <c:pt idx="70">
                  <c:v>40613</c:v>
                </c:pt>
                <c:pt idx="71">
                  <c:v>55954</c:v>
                </c:pt>
                <c:pt idx="73">
                  <c:v>40613</c:v>
                </c:pt>
                <c:pt idx="74">
                  <c:v>55954</c:v>
                </c:pt>
                <c:pt idx="76">
                  <c:v>40613</c:v>
                </c:pt>
                <c:pt idx="77">
                  <c:v>55954</c:v>
                </c:pt>
                <c:pt idx="79">
                  <c:v>40613</c:v>
                </c:pt>
                <c:pt idx="80">
                  <c:v>55954</c:v>
                </c:pt>
                <c:pt idx="82">
                  <c:v>40613</c:v>
                </c:pt>
                <c:pt idx="83">
                  <c:v>55954</c:v>
                </c:pt>
                <c:pt idx="85">
                  <c:v>40613</c:v>
                </c:pt>
                <c:pt idx="86">
                  <c:v>55954</c:v>
                </c:pt>
                <c:pt idx="88">
                  <c:v>40613</c:v>
                </c:pt>
                <c:pt idx="89">
                  <c:v>55954</c:v>
                </c:pt>
                <c:pt idx="91">
                  <c:v>40613</c:v>
                </c:pt>
                <c:pt idx="92">
                  <c:v>55954</c:v>
                </c:pt>
                <c:pt idx="94">
                  <c:v>40613</c:v>
                </c:pt>
                <c:pt idx="95">
                  <c:v>55954</c:v>
                </c:pt>
                <c:pt idx="97">
                  <c:v>40613</c:v>
                </c:pt>
                <c:pt idx="98">
                  <c:v>55954</c:v>
                </c:pt>
                <c:pt idx="100">
                  <c:v>40613</c:v>
                </c:pt>
                <c:pt idx="101">
                  <c:v>55954</c:v>
                </c:pt>
                <c:pt idx="103">
                  <c:v>40613</c:v>
                </c:pt>
                <c:pt idx="104">
                  <c:v>55954</c:v>
                </c:pt>
                <c:pt idx="106">
                  <c:v>40613</c:v>
                </c:pt>
                <c:pt idx="107">
                  <c:v>55954</c:v>
                </c:pt>
                <c:pt idx="109">
                  <c:v>40613</c:v>
                </c:pt>
                <c:pt idx="110">
                  <c:v>55954</c:v>
                </c:pt>
                <c:pt idx="112">
                  <c:v>40613</c:v>
                </c:pt>
                <c:pt idx="113">
                  <c:v>55954</c:v>
                </c:pt>
                <c:pt idx="115">
                  <c:v>40613</c:v>
                </c:pt>
                <c:pt idx="116">
                  <c:v>55954</c:v>
                </c:pt>
                <c:pt idx="118">
                  <c:v>40613</c:v>
                </c:pt>
                <c:pt idx="119">
                  <c:v>55954</c:v>
                </c:pt>
                <c:pt idx="121">
                  <c:v>40613</c:v>
                </c:pt>
                <c:pt idx="122">
                  <c:v>55954</c:v>
                </c:pt>
                <c:pt idx="124">
                  <c:v>40613</c:v>
                </c:pt>
                <c:pt idx="125">
                  <c:v>55954</c:v>
                </c:pt>
                <c:pt idx="127">
                  <c:v>40613</c:v>
                </c:pt>
                <c:pt idx="128">
                  <c:v>55954</c:v>
                </c:pt>
                <c:pt idx="130">
                  <c:v>40613</c:v>
                </c:pt>
                <c:pt idx="131">
                  <c:v>55954</c:v>
                </c:pt>
                <c:pt idx="133">
                  <c:v>40613</c:v>
                </c:pt>
                <c:pt idx="134">
                  <c:v>55954</c:v>
                </c:pt>
                <c:pt idx="136">
                  <c:v>40613</c:v>
                </c:pt>
                <c:pt idx="137">
                  <c:v>55954</c:v>
                </c:pt>
                <c:pt idx="139">
                  <c:v>40613</c:v>
                </c:pt>
                <c:pt idx="140">
                  <c:v>55954</c:v>
                </c:pt>
                <c:pt idx="142">
                  <c:v>40613</c:v>
                </c:pt>
                <c:pt idx="143">
                  <c:v>55954</c:v>
                </c:pt>
                <c:pt idx="145">
                  <c:v>40613</c:v>
                </c:pt>
                <c:pt idx="146">
                  <c:v>55954</c:v>
                </c:pt>
                <c:pt idx="148">
                  <c:v>40613</c:v>
                </c:pt>
                <c:pt idx="149">
                  <c:v>55954</c:v>
                </c:pt>
                <c:pt idx="151">
                  <c:v>40613</c:v>
                </c:pt>
                <c:pt idx="152">
                  <c:v>55954</c:v>
                </c:pt>
                <c:pt idx="154">
                  <c:v>40613</c:v>
                </c:pt>
                <c:pt idx="155">
                  <c:v>55954</c:v>
                </c:pt>
                <c:pt idx="157">
                  <c:v>40613</c:v>
                </c:pt>
                <c:pt idx="158">
                  <c:v>55954</c:v>
                </c:pt>
                <c:pt idx="160">
                  <c:v>40613</c:v>
                </c:pt>
                <c:pt idx="161">
                  <c:v>55954</c:v>
                </c:pt>
                <c:pt idx="163">
                  <c:v>40613</c:v>
                </c:pt>
                <c:pt idx="164">
                  <c:v>55954</c:v>
                </c:pt>
                <c:pt idx="166">
                  <c:v>40613</c:v>
                </c:pt>
                <c:pt idx="167">
                  <c:v>55954</c:v>
                </c:pt>
                <c:pt idx="169">
                  <c:v>40613</c:v>
                </c:pt>
                <c:pt idx="170">
                  <c:v>55954</c:v>
                </c:pt>
                <c:pt idx="172">
                  <c:v>40613</c:v>
                </c:pt>
                <c:pt idx="173">
                  <c:v>55954</c:v>
                </c:pt>
                <c:pt idx="175">
                  <c:v>40613</c:v>
                </c:pt>
                <c:pt idx="176">
                  <c:v>55954</c:v>
                </c:pt>
                <c:pt idx="178">
                  <c:v>40613</c:v>
                </c:pt>
                <c:pt idx="179">
                  <c:v>55954</c:v>
                </c:pt>
                <c:pt idx="181">
                  <c:v>40613</c:v>
                </c:pt>
                <c:pt idx="182">
                  <c:v>55954</c:v>
                </c:pt>
                <c:pt idx="184">
                  <c:v>40613</c:v>
                </c:pt>
                <c:pt idx="185">
                  <c:v>55954</c:v>
                </c:pt>
                <c:pt idx="187">
                  <c:v>40613</c:v>
                </c:pt>
                <c:pt idx="188">
                  <c:v>55954</c:v>
                </c:pt>
                <c:pt idx="190">
                  <c:v>40613</c:v>
                </c:pt>
                <c:pt idx="191">
                  <c:v>55954</c:v>
                </c:pt>
              </c:numCache>
            </c:numRef>
          </c:xVal>
          <c:yVal>
            <c:numRef>
              <c:f>Graph_Data!$G$11:$G$202</c:f>
              <c:numCache>
                <c:ptCount val="192"/>
                <c:pt idx="0">
                  <c:v>1.1367205671564067</c:v>
                </c:pt>
                <c:pt idx="1">
                  <c:v>1.1613680022349748</c:v>
                </c:pt>
                <c:pt idx="2">
                  <c:v>1.24551266781415</c:v>
                </c:pt>
                <c:pt idx="3">
                  <c:v>1.2671717284030137</c:v>
                </c:pt>
                <c:pt idx="4">
                  <c:v>1.3031960574204888</c:v>
                </c:pt>
                <c:pt idx="5">
                  <c:v>1.3117538610557542</c:v>
                </c:pt>
                <c:pt idx="6">
                  <c:v>1.3180633349627615</c:v>
                </c:pt>
                <c:pt idx="7">
                  <c:v>1.3483048630481607</c:v>
                </c:pt>
                <c:pt idx="8">
                  <c:v>1.3617278360175928</c:v>
                </c:pt>
                <c:pt idx="9">
                  <c:v>1.1818435879447726</c:v>
                </c:pt>
                <c:pt idx="10">
                  <c:v>1.2430380486862944</c:v>
                </c:pt>
                <c:pt idx="11">
                  <c:v>1.2576785748691846</c:v>
                </c:pt>
                <c:pt idx="12">
                  <c:v>1.252853030979893</c:v>
                </c:pt>
                <c:pt idx="13">
                  <c:v>1.2430380486862944</c:v>
                </c:pt>
                <c:pt idx="15">
                  <c:v>1.235528446907549</c:v>
                </c:pt>
                <c:pt idx="16">
                  <c:v>1.250420002308894</c:v>
                </c:pt>
                <c:pt idx="17">
                  <c:v>1.2479732663618066</c:v>
                </c:pt>
                <c:pt idx="18">
                  <c:v>1.2695129442179163</c:v>
                </c:pt>
                <c:pt idx="19">
                  <c:v>1.2695129442179163</c:v>
                </c:pt>
                <c:pt idx="20">
                  <c:v>1.2671717284030137</c:v>
                </c:pt>
                <c:pt idx="21">
                  <c:v>1.271841606536499</c:v>
                </c:pt>
                <c:pt idx="22">
                  <c:v>1.271841606536499</c:v>
                </c:pt>
                <c:pt idx="23">
                  <c:v>1.276461804173244</c:v>
                </c:pt>
                <c:pt idx="24">
                  <c:v>1.2576785748691846</c:v>
                </c:pt>
                <c:pt idx="25">
                  <c:v>1.2648178230095364</c:v>
                </c:pt>
                <c:pt idx="26">
                  <c:v>1.276461804173244</c:v>
                </c:pt>
                <c:pt idx="27">
                  <c:v>1.2695129442179163</c:v>
                </c:pt>
                <c:pt idx="28">
                  <c:v>1.2695129442179163</c:v>
                </c:pt>
                <c:pt idx="30">
                  <c:v>1.1205739312058498</c:v>
                </c:pt>
                <c:pt idx="31">
                  <c:v>1.1205739312058498</c:v>
                </c:pt>
                <c:pt idx="32">
                  <c:v>1.1846914308175989</c:v>
                </c:pt>
                <c:pt idx="33">
                  <c:v>1.187520720836463</c:v>
                </c:pt>
                <c:pt idx="34">
                  <c:v>1.2013971243204515</c:v>
                </c:pt>
                <c:pt idx="35">
                  <c:v>1.2068258760318498</c:v>
                </c:pt>
                <c:pt idx="36">
                  <c:v>1.209515014542631</c:v>
                </c:pt>
                <c:pt idx="37">
                  <c:v>1.2148438480476977</c:v>
                </c:pt>
                <c:pt idx="38">
                  <c:v>1.2201080880400552</c:v>
                </c:pt>
                <c:pt idx="39">
                  <c:v>1.1818435879447726</c:v>
                </c:pt>
                <c:pt idx="40">
                  <c:v>1.1986570869544226</c:v>
                </c:pt>
                <c:pt idx="41">
                  <c:v>1.2148438480476977</c:v>
                </c:pt>
                <c:pt idx="42">
                  <c:v>1.2304489213782739</c:v>
                </c:pt>
                <c:pt idx="43">
                  <c:v>1.2201080880400552</c:v>
                </c:pt>
                <c:pt idx="45">
                  <c:v>1.0170333392987803</c:v>
                </c:pt>
                <c:pt idx="46">
                  <c:v>1.0253058652647702</c:v>
                </c:pt>
                <c:pt idx="47">
                  <c:v>1.0791812460476249</c:v>
                </c:pt>
                <c:pt idx="48">
                  <c:v>1.0934216851622351</c:v>
                </c:pt>
                <c:pt idx="49">
                  <c:v>1.0969100130080565</c:v>
                </c:pt>
                <c:pt idx="50">
                  <c:v>1.08278537031645</c:v>
                </c:pt>
                <c:pt idx="51">
                  <c:v>1.0755469613925308</c:v>
                </c:pt>
                <c:pt idx="52">
                  <c:v>1.0755469613925308</c:v>
                </c:pt>
                <c:pt idx="53">
                  <c:v>1.0569048513364727</c:v>
                </c:pt>
                <c:pt idx="54">
                  <c:v>1.089905111439398</c:v>
                </c:pt>
                <c:pt idx="55">
                  <c:v>1.3096301674258988</c:v>
                </c:pt>
                <c:pt idx="56">
                  <c:v>1.2600713879850747</c:v>
                </c:pt>
                <c:pt idx="57">
                  <c:v>1.2648178230095364</c:v>
                </c:pt>
                <c:pt idx="58">
                  <c:v>1.2405492482825997</c:v>
                </c:pt>
              </c:numCache>
            </c:numRef>
          </c:yVal>
          <c:smooth val="0"/>
        </c:ser>
        <c:axId val="30198665"/>
        <c:axId val="3352530"/>
      </c:scatterChart>
      <c:valAx>
        <c:axId val="30198665"/>
        <c:scaling>
          <c:orientation val="minMax"/>
          <c:max val="41105"/>
          <c:min val="40708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52530"/>
        <c:crosses val="autoZero"/>
        <c:crossBetween val="midCat"/>
        <c:dispUnits/>
        <c:majorUnit val="60"/>
      </c:valAx>
      <c:valAx>
        <c:axId val="3352530"/>
        <c:scaling>
          <c:orientation val="minMax"/>
          <c:max val="2"/>
          <c:min val="1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986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101"/>
          <c:w val="0.8455"/>
          <c:h val="0.792"/>
        </c:manualLayout>
      </c:layout>
      <c:scatterChart>
        <c:scatterStyle val="lineMarker"/>
        <c:varyColors val="0"/>
        <c:ser>
          <c:idx val="5"/>
          <c:order val="0"/>
          <c:tx>
            <c:strRef>
              <c:f>Graph_Data!$F$7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Graph_Data!$F$11:$F$202</c:f>
              <c:numCache>
                <c:ptCount val="192"/>
                <c:pt idx="0">
                  <c:v>1.2594478720914102</c:v>
                </c:pt>
                <c:pt idx="15">
                  <c:v>1.2641606028679384</c:v>
                </c:pt>
                <c:pt idx="30">
                  <c:v>1.1937108212438337</c:v>
                </c:pt>
                <c:pt idx="45">
                  <c:v>1.126257859382997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Graph_Data!$I$9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Graph_Data!$I$11:$I$202</c:f>
              <c:numCache>
                <c:ptCount val="192"/>
                <c:pt idx="76">
                  <c:v>-1.6989700043360187</c:v>
                </c:pt>
                <c:pt idx="77">
                  <c:v>-1.6989700043360187</c:v>
                </c:pt>
                <c:pt idx="79">
                  <c:v>-1.5228787452803376</c:v>
                </c:pt>
                <c:pt idx="80">
                  <c:v>-1.5228787452803376</c:v>
                </c:pt>
                <c:pt idx="82">
                  <c:v>-1.3979400086720375</c:v>
                </c:pt>
                <c:pt idx="83">
                  <c:v>-1.3979400086720375</c:v>
                </c:pt>
                <c:pt idx="88">
                  <c:v>-1.2218487496163564</c:v>
                </c:pt>
                <c:pt idx="89">
                  <c:v>-1.2218487496163564</c:v>
                </c:pt>
                <c:pt idx="91">
                  <c:v>-1.154901959985743</c:v>
                </c:pt>
                <c:pt idx="92">
                  <c:v>-1.154901959985743</c:v>
                </c:pt>
                <c:pt idx="94">
                  <c:v>-1.0969100130080565</c:v>
                </c:pt>
                <c:pt idx="95">
                  <c:v>-1.0969100130080565</c:v>
                </c:pt>
                <c:pt idx="97">
                  <c:v>-1.0457574905606752</c:v>
                </c:pt>
                <c:pt idx="98">
                  <c:v>-1.0457574905606752</c:v>
                </c:pt>
                <c:pt idx="106">
                  <c:v>-0.6989700043360187</c:v>
                </c:pt>
                <c:pt idx="107">
                  <c:v>-0.6989700043360187</c:v>
                </c:pt>
                <c:pt idx="109">
                  <c:v>-0.5228787452803376</c:v>
                </c:pt>
                <c:pt idx="110">
                  <c:v>-0.5228787452803376</c:v>
                </c:pt>
                <c:pt idx="112">
                  <c:v>-0.3979400086720376</c:v>
                </c:pt>
                <c:pt idx="113">
                  <c:v>-0.3979400086720376</c:v>
                </c:pt>
                <c:pt idx="118">
                  <c:v>-0.2218487496163563</c:v>
                </c:pt>
                <c:pt idx="119">
                  <c:v>-0.2218487496163563</c:v>
                </c:pt>
                <c:pt idx="121">
                  <c:v>-0.15490195998574313</c:v>
                </c:pt>
                <c:pt idx="122">
                  <c:v>-0.15490195998574313</c:v>
                </c:pt>
                <c:pt idx="124">
                  <c:v>-0.09691001300805639</c:v>
                </c:pt>
                <c:pt idx="125">
                  <c:v>-0.09691001300805639</c:v>
                </c:pt>
                <c:pt idx="127">
                  <c:v>-0.04575749056067517</c:v>
                </c:pt>
                <c:pt idx="128">
                  <c:v>-0.04575749056067517</c:v>
                </c:pt>
                <c:pt idx="136">
                  <c:v>0.3010299956639812</c:v>
                </c:pt>
                <c:pt idx="137">
                  <c:v>0.3010299956639812</c:v>
                </c:pt>
                <c:pt idx="139">
                  <c:v>0.47712125471966244</c:v>
                </c:pt>
                <c:pt idx="140">
                  <c:v>0.47712125471966244</c:v>
                </c:pt>
                <c:pt idx="142">
                  <c:v>0.6020599913279624</c:v>
                </c:pt>
                <c:pt idx="143">
                  <c:v>0.6020599913279624</c:v>
                </c:pt>
                <c:pt idx="148">
                  <c:v>0.7781512503836437</c:v>
                </c:pt>
                <c:pt idx="149">
                  <c:v>0.7781512503836437</c:v>
                </c:pt>
                <c:pt idx="151">
                  <c:v>0.8450980400142569</c:v>
                </c:pt>
                <c:pt idx="152">
                  <c:v>0.8450980400142569</c:v>
                </c:pt>
                <c:pt idx="154">
                  <c:v>0.9030899869919435</c:v>
                </c:pt>
                <c:pt idx="155">
                  <c:v>0.9030899869919435</c:v>
                </c:pt>
                <c:pt idx="157">
                  <c:v>0.9542425094393249</c:v>
                </c:pt>
                <c:pt idx="158">
                  <c:v>0.9542425094393249</c:v>
                </c:pt>
                <c:pt idx="166">
                  <c:v>1.3010299956639813</c:v>
                </c:pt>
                <c:pt idx="167">
                  <c:v>1.3010299956639813</c:v>
                </c:pt>
                <c:pt idx="169">
                  <c:v>1.4771212547196624</c:v>
                </c:pt>
                <c:pt idx="170">
                  <c:v>1.4771212547196624</c:v>
                </c:pt>
                <c:pt idx="172">
                  <c:v>1.6020599913279623</c:v>
                </c:pt>
                <c:pt idx="173">
                  <c:v>1.6020599913279623</c:v>
                </c:pt>
                <c:pt idx="178">
                  <c:v>1.7781512503836436</c:v>
                </c:pt>
                <c:pt idx="179">
                  <c:v>1.7781512503836436</c:v>
                </c:pt>
                <c:pt idx="181">
                  <c:v>1.845098040014257</c:v>
                </c:pt>
                <c:pt idx="182">
                  <c:v>1.845098040014257</c:v>
                </c:pt>
                <c:pt idx="184">
                  <c:v>1.9030899869919435</c:v>
                </c:pt>
                <c:pt idx="185">
                  <c:v>1.9030899869919435</c:v>
                </c:pt>
                <c:pt idx="187">
                  <c:v>1.954242509439325</c:v>
                </c:pt>
                <c:pt idx="188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Graph_Data!$J$9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Graph_Data!$J$11:$J$202</c:f>
              <c:numCache>
                <c:ptCount val="192"/>
                <c:pt idx="70">
                  <c:v>-2</c:v>
                </c:pt>
                <c:pt idx="71">
                  <c:v>-2</c:v>
                </c:pt>
                <c:pt idx="85">
                  <c:v>-1.3010299956639813</c:v>
                </c:pt>
                <c:pt idx="86">
                  <c:v>-1.3010299956639813</c:v>
                </c:pt>
                <c:pt idx="100">
                  <c:v>-1</c:v>
                </c:pt>
                <c:pt idx="101">
                  <c:v>-1</c:v>
                </c:pt>
                <c:pt idx="115">
                  <c:v>-0.3010299956639812</c:v>
                </c:pt>
                <c:pt idx="116">
                  <c:v>-0.3010299956639812</c:v>
                </c:pt>
                <c:pt idx="130">
                  <c:v>0</c:v>
                </c:pt>
                <c:pt idx="131">
                  <c:v>0</c:v>
                </c:pt>
                <c:pt idx="145">
                  <c:v>0.6989700043360189</c:v>
                </c:pt>
                <c:pt idx="146">
                  <c:v>0.6989700043360189</c:v>
                </c:pt>
                <c:pt idx="160">
                  <c:v>1</c:v>
                </c:pt>
                <c:pt idx="161">
                  <c:v>1</c:v>
                </c:pt>
                <c:pt idx="175">
                  <c:v>1.6989700043360187</c:v>
                </c:pt>
                <c:pt idx="176">
                  <c:v>1.6989700043360187</c:v>
                </c:pt>
                <c:pt idx="190">
                  <c:v>2</c:v>
                </c:pt>
                <c:pt idx="191">
                  <c:v>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Graph_Data!$H$7</c:f>
              <c:strCache>
                <c:ptCount val="1"/>
                <c:pt idx="0">
                  <c:v>周辺_1m近似直線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Graph_Data!$H$11:$H$202</c:f>
              <c:numCache>
                <c:ptCount val="192"/>
                <c:pt idx="60">
                  <c:v>1.3136256345208641</c:v>
                </c:pt>
                <c:pt idx="61">
                  <c:v>-3.0945970576394313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Graph_Data!$K$9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Graph_Data!$K$11:$K$202</c:f>
              <c:numCache>
                <c:ptCount val="192"/>
                <c:pt idx="73">
                  <c:v>-1.8239087409443189</c:v>
                </c:pt>
                <c:pt idx="74">
                  <c:v>-1.8239087409443189</c:v>
                </c:pt>
                <c:pt idx="103">
                  <c:v>-0.8239087409443188</c:v>
                </c:pt>
                <c:pt idx="104">
                  <c:v>-0.8239087409443188</c:v>
                </c:pt>
                <c:pt idx="133">
                  <c:v>0.17609125905568124</c:v>
                </c:pt>
                <c:pt idx="134">
                  <c:v>0.17609125905568124</c:v>
                </c:pt>
                <c:pt idx="163">
                  <c:v>1.1760912590556813</c:v>
                </c:pt>
                <c:pt idx="164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Graph_Data!$G$7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Graph_Data!$G$11:$G$202</c:f>
              <c:numCache>
                <c:ptCount val="192"/>
                <c:pt idx="0">
                  <c:v>1.1367205671564067</c:v>
                </c:pt>
                <c:pt idx="1">
                  <c:v>1.1613680022349748</c:v>
                </c:pt>
                <c:pt idx="2">
                  <c:v>1.24551266781415</c:v>
                </c:pt>
                <c:pt idx="3">
                  <c:v>1.2671717284030137</c:v>
                </c:pt>
                <c:pt idx="4">
                  <c:v>1.3031960574204888</c:v>
                </c:pt>
                <c:pt idx="5">
                  <c:v>1.3117538610557542</c:v>
                </c:pt>
                <c:pt idx="6">
                  <c:v>1.3180633349627615</c:v>
                </c:pt>
                <c:pt idx="7">
                  <c:v>1.3483048630481607</c:v>
                </c:pt>
                <c:pt idx="8">
                  <c:v>1.3617278360175928</c:v>
                </c:pt>
                <c:pt idx="9">
                  <c:v>1.1818435879447726</c:v>
                </c:pt>
                <c:pt idx="10">
                  <c:v>1.2430380486862944</c:v>
                </c:pt>
                <c:pt idx="11">
                  <c:v>1.2576785748691846</c:v>
                </c:pt>
                <c:pt idx="12">
                  <c:v>1.252853030979893</c:v>
                </c:pt>
                <c:pt idx="13">
                  <c:v>1.2430380486862944</c:v>
                </c:pt>
                <c:pt idx="15">
                  <c:v>1.235528446907549</c:v>
                </c:pt>
                <c:pt idx="16">
                  <c:v>1.250420002308894</c:v>
                </c:pt>
                <c:pt idx="17">
                  <c:v>1.2479732663618066</c:v>
                </c:pt>
                <c:pt idx="18">
                  <c:v>1.2695129442179163</c:v>
                </c:pt>
                <c:pt idx="19">
                  <c:v>1.2695129442179163</c:v>
                </c:pt>
                <c:pt idx="20">
                  <c:v>1.2671717284030137</c:v>
                </c:pt>
                <c:pt idx="21">
                  <c:v>1.271841606536499</c:v>
                </c:pt>
                <c:pt idx="22">
                  <c:v>1.271841606536499</c:v>
                </c:pt>
                <c:pt idx="23">
                  <c:v>1.276461804173244</c:v>
                </c:pt>
                <c:pt idx="24">
                  <c:v>1.2576785748691846</c:v>
                </c:pt>
                <c:pt idx="25">
                  <c:v>1.2648178230095364</c:v>
                </c:pt>
                <c:pt idx="26">
                  <c:v>1.276461804173244</c:v>
                </c:pt>
                <c:pt idx="27">
                  <c:v>1.2695129442179163</c:v>
                </c:pt>
                <c:pt idx="28">
                  <c:v>1.2695129442179163</c:v>
                </c:pt>
                <c:pt idx="30">
                  <c:v>1.1205739312058498</c:v>
                </c:pt>
                <c:pt idx="31">
                  <c:v>1.1205739312058498</c:v>
                </c:pt>
                <c:pt idx="32">
                  <c:v>1.1846914308175989</c:v>
                </c:pt>
                <c:pt idx="33">
                  <c:v>1.187520720836463</c:v>
                </c:pt>
                <c:pt idx="34">
                  <c:v>1.2013971243204515</c:v>
                </c:pt>
                <c:pt idx="35">
                  <c:v>1.2068258760318498</c:v>
                </c:pt>
                <c:pt idx="36">
                  <c:v>1.209515014542631</c:v>
                </c:pt>
                <c:pt idx="37">
                  <c:v>1.2148438480476977</c:v>
                </c:pt>
                <c:pt idx="38">
                  <c:v>1.2201080880400552</c:v>
                </c:pt>
                <c:pt idx="39">
                  <c:v>1.1818435879447726</c:v>
                </c:pt>
                <c:pt idx="40">
                  <c:v>1.1986570869544226</c:v>
                </c:pt>
                <c:pt idx="41">
                  <c:v>1.2148438480476977</c:v>
                </c:pt>
                <c:pt idx="42">
                  <c:v>1.2304489213782739</c:v>
                </c:pt>
                <c:pt idx="43">
                  <c:v>1.2201080880400552</c:v>
                </c:pt>
                <c:pt idx="45">
                  <c:v>1.0170333392987803</c:v>
                </c:pt>
                <c:pt idx="46">
                  <c:v>1.0253058652647702</c:v>
                </c:pt>
                <c:pt idx="47">
                  <c:v>1.0791812460476249</c:v>
                </c:pt>
                <c:pt idx="48">
                  <c:v>1.0934216851622351</c:v>
                </c:pt>
                <c:pt idx="49">
                  <c:v>1.0969100130080565</c:v>
                </c:pt>
                <c:pt idx="50">
                  <c:v>1.08278537031645</c:v>
                </c:pt>
                <c:pt idx="51">
                  <c:v>1.0755469613925308</c:v>
                </c:pt>
                <c:pt idx="52">
                  <c:v>1.0755469613925308</c:v>
                </c:pt>
                <c:pt idx="53">
                  <c:v>1.0569048513364727</c:v>
                </c:pt>
                <c:pt idx="54">
                  <c:v>1.089905111439398</c:v>
                </c:pt>
                <c:pt idx="55">
                  <c:v>1.3096301674258988</c:v>
                </c:pt>
                <c:pt idx="56">
                  <c:v>1.2600713879850747</c:v>
                </c:pt>
                <c:pt idx="57">
                  <c:v>1.2648178230095364</c:v>
                </c:pt>
                <c:pt idx="58">
                  <c:v>1.2405492482825997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Graph_Data!$L$7</c:f>
              <c:strCache>
                <c:ptCount val="1"/>
                <c:pt idx="0">
                  <c:v>0.05事故前BG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Graph_Data!$L$11:$L$202</c:f>
              <c:numCache>
                <c:ptCount val="192"/>
                <c:pt idx="60">
                  <c:v>-1.3010299956639813</c:v>
                </c:pt>
                <c:pt idx="61">
                  <c:v>-1.3010299956639813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Graph_Data!$M$7</c:f>
              <c:strCache>
                <c:ptCount val="1"/>
                <c:pt idx="0">
                  <c:v>1mBG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Graph_Data!$M$11:$M$202</c:f>
              <c:numCache>
                <c:ptCount val="192"/>
                <c:pt idx="63">
                  <c:v>5</c:v>
                </c:pt>
                <c:pt idx="64">
                  <c:v>-5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Graph_Data!$N$7</c:f>
              <c:strCache>
                <c:ptCount val="1"/>
                <c:pt idx="0">
                  <c:v>Cs-137の減衰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Graph_Data!$N$11:$N$202</c:f>
              <c:numCache>
                <c:ptCount val="192"/>
                <c:pt idx="66">
                  <c:v>1</c:v>
                </c:pt>
                <c:pt idx="67">
                  <c:v>0.9900011817394485</c:v>
                </c:pt>
                <c:pt idx="68">
                  <c:v>0.5808965274996701</c:v>
                </c:pt>
              </c:numCache>
            </c:numRef>
          </c:yVal>
          <c:smooth val="0"/>
        </c:ser>
        <c:ser>
          <c:idx val="4"/>
          <c:order val="9"/>
          <c:tx>
            <c:strRef>
              <c:f>Graph_Data!$O$7</c:f>
              <c:strCache>
                <c:ptCount val="1"/>
                <c:pt idx="0">
                  <c:v>I-131の減衰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Graph_Data!$E$11:$E$202</c:f>
              <c:numCache>
                <c:ptCount val="19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0</c:v>
                </c:pt>
                <c:pt idx="61">
                  <c:v>15341</c:v>
                </c:pt>
                <c:pt idx="63">
                  <c:v>9099.22996721581</c:v>
                </c:pt>
                <c:pt idx="64">
                  <c:v>9099.22996721581</c:v>
                </c:pt>
                <c:pt idx="66">
                  <c:v>0</c:v>
                </c:pt>
                <c:pt idx="67">
                  <c:v>366</c:v>
                </c:pt>
                <c:pt idx="68">
                  <c:v>15341</c:v>
                </c:pt>
                <c:pt idx="70">
                  <c:v>0</c:v>
                </c:pt>
                <c:pt idx="71">
                  <c:v>15341</c:v>
                </c:pt>
                <c:pt idx="73">
                  <c:v>0</c:v>
                </c:pt>
                <c:pt idx="74">
                  <c:v>15341</c:v>
                </c:pt>
                <c:pt idx="76">
                  <c:v>0</c:v>
                </c:pt>
                <c:pt idx="77">
                  <c:v>15341</c:v>
                </c:pt>
                <c:pt idx="79">
                  <c:v>0</c:v>
                </c:pt>
                <c:pt idx="80">
                  <c:v>15341</c:v>
                </c:pt>
                <c:pt idx="82">
                  <c:v>0</c:v>
                </c:pt>
                <c:pt idx="83">
                  <c:v>15341</c:v>
                </c:pt>
                <c:pt idx="85">
                  <c:v>0</c:v>
                </c:pt>
                <c:pt idx="86">
                  <c:v>15341</c:v>
                </c:pt>
                <c:pt idx="88">
                  <c:v>0</c:v>
                </c:pt>
                <c:pt idx="89">
                  <c:v>15341</c:v>
                </c:pt>
                <c:pt idx="91">
                  <c:v>0</c:v>
                </c:pt>
                <c:pt idx="92">
                  <c:v>15341</c:v>
                </c:pt>
                <c:pt idx="94">
                  <c:v>0</c:v>
                </c:pt>
                <c:pt idx="95">
                  <c:v>15341</c:v>
                </c:pt>
                <c:pt idx="97">
                  <c:v>0</c:v>
                </c:pt>
                <c:pt idx="98">
                  <c:v>15341</c:v>
                </c:pt>
                <c:pt idx="100">
                  <c:v>0</c:v>
                </c:pt>
                <c:pt idx="101">
                  <c:v>15341</c:v>
                </c:pt>
                <c:pt idx="103">
                  <c:v>0</c:v>
                </c:pt>
                <c:pt idx="104">
                  <c:v>15341</c:v>
                </c:pt>
                <c:pt idx="106">
                  <c:v>0</c:v>
                </c:pt>
                <c:pt idx="107">
                  <c:v>15341</c:v>
                </c:pt>
                <c:pt idx="109">
                  <c:v>0</c:v>
                </c:pt>
                <c:pt idx="110">
                  <c:v>15341</c:v>
                </c:pt>
                <c:pt idx="112">
                  <c:v>0</c:v>
                </c:pt>
                <c:pt idx="113">
                  <c:v>15341</c:v>
                </c:pt>
                <c:pt idx="115">
                  <c:v>0</c:v>
                </c:pt>
                <c:pt idx="116">
                  <c:v>15341</c:v>
                </c:pt>
                <c:pt idx="118">
                  <c:v>0</c:v>
                </c:pt>
                <c:pt idx="119">
                  <c:v>15341</c:v>
                </c:pt>
                <c:pt idx="121">
                  <c:v>0</c:v>
                </c:pt>
                <c:pt idx="122">
                  <c:v>15341</c:v>
                </c:pt>
                <c:pt idx="124">
                  <c:v>0</c:v>
                </c:pt>
                <c:pt idx="125">
                  <c:v>15341</c:v>
                </c:pt>
                <c:pt idx="127">
                  <c:v>0</c:v>
                </c:pt>
                <c:pt idx="128">
                  <c:v>15341</c:v>
                </c:pt>
                <c:pt idx="130">
                  <c:v>0</c:v>
                </c:pt>
                <c:pt idx="131">
                  <c:v>15341</c:v>
                </c:pt>
                <c:pt idx="133">
                  <c:v>0</c:v>
                </c:pt>
                <c:pt idx="134">
                  <c:v>15341</c:v>
                </c:pt>
                <c:pt idx="136">
                  <c:v>0</c:v>
                </c:pt>
                <c:pt idx="137">
                  <c:v>15341</c:v>
                </c:pt>
                <c:pt idx="139">
                  <c:v>0</c:v>
                </c:pt>
                <c:pt idx="140">
                  <c:v>15341</c:v>
                </c:pt>
                <c:pt idx="142">
                  <c:v>0</c:v>
                </c:pt>
                <c:pt idx="143">
                  <c:v>15341</c:v>
                </c:pt>
                <c:pt idx="145">
                  <c:v>0</c:v>
                </c:pt>
                <c:pt idx="146">
                  <c:v>15341</c:v>
                </c:pt>
                <c:pt idx="148">
                  <c:v>0</c:v>
                </c:pt>
                <c:pt idx="149">
                  <c:v>15341</c:v>
                </c:pt>
                <c:pt idx="151">
                  <c:v>0</c:v>
                </c:pt>
                <c:pt idx="152">
                  <c:v>15341</c:v>
                </c:pt>
                <c:pt idx="154">
                  <c:v>0</c:v>
                </c:pt>
                <c:pt idx="155">
                  <c:v>15341</c:v>
                </c:pt>
                <c:pt idx="157">
                  <c:v>0</c:v>
                </c:pt>
                <c:pt idx="158">
                  <c:v>15341</c:v>
                </c:pt>
                <c:pt idx="160">
                  <c:v>0</c:v>
                </c:pt>
                <c:pt idx="161">
                  <c:v>15341</c:v>
                </c:pt>
                <c:pt idx="163">
                  <c:v>0</c:v>
                </c:pt>
                <c:pt idx="164">
                  <c:v>15341</c:v>
                </c:pt>
                <c:pt idx="166">
                  <c:v>0</c:v>
                </c:pt>
                <c:pt idx="167">
                  <c:v>15341</c:v>
                </c:pt>
                <c:pt idx="169">
                  <c:v>0</c:v>
                </c:pt>
                <c:pt idx="170">
                  <c:v>15341</c:v>
                </c:pt>
                <c:pt idx="172">
                  <c:v>0</c:v>
                </c:pt>
                <c:pt idx="173">
                  <c:v>15341</c:v>
                </c:pt>
                <c:pt idx="175">
                  <c:v>0</c:v>
                </c:pt>
                <c:pt idx="176">
                  <c:v>15341</c:v>
                </c:pt>
                <c:pt idx="178">
                  <c:v>0</c:v>
                </c:pt>
                <c:pt idx="179">
                  <c:v>15341</c:v>
                </c:pt>
                <c:pt idx="181">
                  <c:v>0</c:v>
                </c:pt>
                <c:pt idx="182">
                  <c:v>15341</c:v>
                </c:pt>
                <c:pt idx="184">
                  <c:v>0</c:v>
                </c:pt>
                <c:pt idx="185">
                  <c:v>15341</c:v>
                </c:pt>
                <c:pt idx="187">
                  <c:v>0</c:v>
                </c:pt>
                <c:pt idx="188">
                  <c:v>15341</c:v>
                </c:pt>
                <c:pt idx="190">
                  <c:v>0</c:v>
                </c:pt>
                <c:pt idx="191">
                  <c:v>15341</c:v>
                </c:pt>
              </c:numCache>
            </c:numRef>
          </c:xVal>
          <c:yVal>
            <c:numRef>
              <c:f>Graph_Data!$O$11:$O$202</c:f>
              <c:numCache>
                <c:ptCount val="192"/>
                <c:pt idx="66">
                  <c:v>4.076640443670342</c:v>
                </c:pt>
                <c:pt idx="67">
                  <c:v>-9.659938460043437</c:v>
                </c:pt>
              </c:numCache>
            </c:numRef>
          </c:yVal>
          <c:smooth val="0"/>
        </c:ser>
        <c:axId val="30172771"/>
        <c:axId val="3119484"/>
      </c:scatterChart>
      <c:valAx>
        <c:axId val="30172771"/>
        <c:scaling>
          <c:orientation val="minMax"/>
          <c:max val="10957"/>
          <c:min val="0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19484"/>
        <c:crosses val="autoZero"/>
        <c:crossBetween val="midCat"/>
        <c:dispUnits/>
        <c:majorUnit val="730.52"/>
        <c:minorUnit val="60"/>
      </c:valAx>
      <c:valAx>
        <c:axId val="3119484"/>
        <c:scaling>
          <c:orientation val="minMax"/>
          <c:max val="2"/>
          <c:min val="-2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72771"/>
        <c:crosses val="autoZero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jpeg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85725</xdr:rowOff>
    </xdr:from>
    <xdr:to>
      <xdr:col>12</xdr:col>
      <xdr:colOff>0</xdr:colOff>
      <xdr:row>40</xdr:row>
      <xdr:rowOff>9525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0325"/>
          <a:ext cx="42291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41</xdr:row>
      <xdr:rowOff>0</xdr:rowOff>
    </xdr:from>
    <xdr:to>
      <xdr:col>20</xdr:col>
      <xdr:colOff>0</xdr:colOff>
      <xdr:row>55</xdr:row>
      <xdr:rowOff>0</xdr:rowOff>
    </xdr:to>
    <xdr:grpSp>
      <xdr:nvGrpSpPr>
        <xdr:cNvPr id="2" name="Group 47"/>
        <xdr:cNvGrpSpPr>
          <a:grpSpLocks/>
        </xdr:cNvGrpSpPr>
      </xdr:nvGrpSpPr>
      <xdr:grpSpPr>
        <a:xfrm>
          <a:off x="4581525" y="6724650"/>
          <a:ext cx="2466975" cy="2266950"/>
          <a:chOff x="518" y="977"/>
          <a:chExt cx="224" cy="208"/>
        </a:xfrm>
        <a:solidFill>
          <a:srgbClr val="FFFFFF"/>
        </a:solidFill>
      </xdr:grpSpPr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" y="977"/>
            <a:ext cx="224" cy="2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20"/>
          <xdr:cNvSpPr>
            <a:spLocks noChangeAspect="1"/>
          </xdr:cNvSpPr>
        </xdr:nvSpPr>
        <xdr:spPr>
          <a:xfrm>
            <a:off x="612" y="1048"/>
            <a:ext cx="30" cy="3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0</xdr:colOff>
      <xdr:row>26</xdr:row>
      <xdr:rowOff>133350</xdr:rowOff>
    </xdr:from>
    <xdr:to>
      <xdr:col>20</xdr:col>
      <xdr:colOff>0</xdr:colOff>
      <xdr:row>40</xdr:row>
      <xdr:rowOff>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4429125"/>
          <a:ext cx="28194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114300</xdr:rowOff>
    </xdr:from>
    <xdr:to>
      <xdr:col>19</xdr:col>
      <xdr:colOff>333375</xdr:colOff>
      <xdr:row>28</xdr:row>
      <xdr:rowOff>114300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2628900"/>
          <a:ext cx="28003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7" name="Chart 44"/>
        <xdr:cNvGraphicFramePr/>
      </xdr:nvGraphicFramePr>
      <xdr:xfrm>
        <a:off x="704850" y="6562725"/>
        <a:ext cx="352425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333375</xdr:colOff>
      <xdr:row>35</xdr:row>
      <xdr:rowOff>0</xdr:rowOff>
    </xdr:from>
    <xdr:to>
      <xdr:col>6</xdr:col>
      <xdr:colOff>0</xdr:colOff>
      <xdr:row>37</xdr:row>
      <xdr:rowOff>152400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575310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95250</xdr:rowOff>
    </xdr:from>
    <xdr:to>
      <xdr:col>12</xdr:col>
      <xdr:colOff>0</xdr:colOff>
      <xdr:row>39</xdr:row>
      <xdr:rowOff>152400</xdr:rowOff>
    </xdr:to>
    <xdr:sp>
      <xdr:nvSpPr>
        <xdr:cNvPr id="9" name="AutoShape 21"/>
        <xdr:cNvSpPr>
          <a:spLocks/>
        </xdr:cNvSpPr>
      </xdr:nvSpPr>
      <xdr:spPr>
        <a:xfrm>
          <a:off x="0" y="2609850"/>
          <a:ext cx="4229100" cy="3943350"/>
        </a:xfrm>
        <a:prstGeom prst="wedgeRectCallout">
          <a:avLst>
            <a:gd name="adj1" fmla="val 82430"/>
            <a:gd name="adj2" fmla="val 7367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85725</xdr:rowOff>
    </xdr:from>
    <xdr:to>
      <xdr:col>12</xdr:col>
      <xdr:colOff>0</xdr:colOff>
      <xdr:row>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0325"/>
          <a:ext cx="42291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85725</xdr:rowOff>
    </xdr:from>
    <xdr:to>
      <xdr:col>20</xdr:col>
      <xdr:colOff>0</xdr:colOff>
      <xdr:row>29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4581525" y="2600325"/>
          <a:ext cx="2466975" cy="2266950"/>
          <a:chOff x="518" y="977"/>
          <a:chExt cx="224" cy="208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" y="977"/>
            <a:ext cx="224" cy="2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 noChangeAspect="1"/>
          </xdr:cNvSpPr>
        </xdr:nvSpPr>
        <xdr:spPr>
          <a:xfrm>
            <a:off x="612" y="1048"/>
            <a:ext cx="30" cy="3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40</xdr:row>
      <xdr:rowOff>0</xdr:rowOff>
    </xdr:from>
    <xdr:to>
      <xdr:col>21</xdr:col>
      <xdr:colOff>0</xdr:colOff>
      <xdr:row>62</xdr:row>
      <xdr:rowOff>0</xdr:rowOff>
    </xdr:to>
    <xdr:graphicFrame>
      <xdr:nvGraphicFramePr>
        <xdr:cNvPr id="5" name="Chart 7"/>
        <xdr:cNvGraphicFramePr/>
      </xdr:nvGraphicFramePr>
      <xdr:xfrm>
        <a:off x="1057275" y="6562725"/>
        <a:ext cx="63436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333375</xdr:colOff>
      <xdr:row>35</xdr:row>
      <xdr:rowOff>0</xdr:rowOff>
    </xdr:from>
    <xdr:to>
      <xdr:col>6</xdr:col>
      <xdr:colOff>0</xdr:colOff>
      <xdr:row>37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575310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95250</xdr:rowOff>
    </xdr:from>
    <xdr:to>
      <xdr:col>12</xdr:col>
      <xdr:colOff>0</xdr:colOff>
      <xdr:row>39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0" y="2609850"/>
          <a:ext cx="4229100" cy="3943350"/>
        </a:xfrm>
        <a:prstGeom prst="wedgeRectCallout">
          <a:avLst>
            <a:gd name="adj1" fmla="val 81754"/>
            <a:gd name="adj2" fmla="val -26087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44</xdr:row>
      <xdr:rowOff>38100</xdr:rowOff>
    </xdr:from>
    <xdr:to>
      <xdr:col>14</xdr:col>
      <xdr:colOff>133350</xdr:colOff>
      <xdr:row>45</xdr:row>
      <xdr:rowOff>104775</xdr:rowOff>
    </xdr:to>
    <xdr:sp>
      <xdr:nvSpPr>
        <xdr:cNvPr id="8" name="AutoShape 10"/>
        <xdr:cNvSpPr>
          <a:spLocks/>
        </xdr:cNvSpPr>
      </xdr:nvSpPr>
      <xdr:spPr>
        <a:xfrm>
          <a:off x="3295650" y="7248525"/>
          <a:ext cx="1771650" cy="228600"/>
        </a:xfrm>
        <a:prstGeom prst="wedgeRoundRectCallout">
          <a:avLst>
            <a:gd name="adj1" fmla="val 52689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Cs-137 30.167y(11,019d)</a:t>
          </a:r>
        </a:p>
      </xdr:txBody>
    </xdr:sp>
    <xdr:clientData/>
  </xdr:twoCellAnchor>
  <xdr:twoCellAnchor>
    <xdr:from>
      <xdr:col>5</xdr:col>
      <xdr:colOff>314325</xdr:colOff>
      <xdr:row>53</xdr:row>
      <xdr:rowOff>38100</xdr:rowOff>
    </xdr:from>
    <xdr:to>
      <xdr:col>8</xdr:col>
      <xdr:colOff>333375</xdr:colOff>
      <xdr:row>54</xdr:row>
      <xdr:rowOff>104775</xdr:rowOff>
    </xdr:to>
    <xdr:sp>
      <xdr:nvSpPr>
        <xdr:cNvPr id="9" name="AutoShape 11"/>
        <xdr:cNvSpPr>
          <a:spLocks/>
        </xdr:cNvSpPr>
      </xdr:nvSpPr>
      <xdr:spPr>
        <a:xfrm>
          <a:off x="2076450" y="8705850"/>
          <a:ext cx="1076325" cy="228600"/>
        </a:xfrm>
        <a:prstGeom prst="wedgeRoundRectCallout">
          <a:avLst>
            <a:gd name="adj1" fmla="val -88939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I-131 8.02070d</a:t>
          </a:r>
        </a:p>
      </xdr:txBody>
    </xdr:sp>
    <xdr:clientData/>
  </xdr:twoCellAnchor>
  <xdr:twoCellAnchor>
    <xdr:from>
      <xdr:col>0</xdr:col>
      <xdr:colOff>0</xdr:colOff>
      <xdr:row>67</xdr:row>
      <xdr:rowOff>95250</xdr:rowOff>
    </xdr:from>
    <xdr:to>
      <xdr:col>2</xdr:col>
      <xdr:colOff>0</xdr:colOff>
      <xdr:row>67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0" y="11029950"/>
          <a:ext cx="704850" cy="0"/>
        </a:xfrm>
        <a:prstGeom prst="line">
          <a:avLst/>
        </a:prstGeom>
        <a:noFill/>
        <a:ln w="190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95250</xdr:rowOff>
    </xdr:from>
    <xdr:to>
      <xdr:col>2</xdr:col>
      <xdr:colOff>0</xdr:colOff>
      <xdr:row>68</xdr:row>
      <xdr:rowOff>95250</xdr:rowOff>
    </xdr:to>
    <xdr:sp>
      <xdr:nvSpPr>
        <xdr:cNvPr id="11" name="Line 13"/>
        <xdr:cNvSpPr>
          <a:spLocks/>
        </xdr:cNvSpPr>
      </xdr:nvSpPr>
      <xdr:spPr>
        <a:xfrm flipV="1">
          <a:off x="0" y="11191875"/>
          <a:ext cx="704850" cy="0"/>
        </a:xfrm>
        <a:prstGeom prst="line">
          <a:avLst/>
        </a:prstGeom>
        <a:noFill/>
        <a:ln w="19050" cmpd="sng">
          <a:solidFill>
            <a:srgbClr val="9933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T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0" width="4.625" style="5" customWidth="1"/>
    <col min="21" max="23" width="9.00390625" style="5" customWidth="1"/>
    <col min="24" max="24" width="7.25390625" style="5" customWidth="1"/>
    <col min="25" max="16384" width="9.00390625" style="5" customWidth="1"/>
  </cols>
  <sheetData>
    <row r="1" ht="12.75" customHeight="1"/>
    <row r="2" ht="12.75" customHeight="1"/>
    <row r="3" spans="1:20" ht="12.75" customHeight="1">
      <c r="A3" s="129" t="s">
        <v>24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1:12" ht="12.75">
      <c r="K5" s="133"/>
      <c r="L5" s="133"/>
    </row>
    <row r="6" spans="1:14" ht="13.5" customHeight="1">
      <c r="A6" s="124" t="s">
        <v>4</v>
      </c>
      <c r="B6" s="125"/>
      <c r="C6" s="132" t="s">
        <v>26</v>
      </c>
      <c r="D6" s="132"/>
      <c r="E6" s="132"/>
      <c r="F6" s="132"/>
      <c r="G6" s="132"/>
      <c r="H6" s="132"/>
      <c r="K6" s="133">
        <v>0.4305555555555556</v>
      </c>
      <c r="L6" s="133"/>
      <c r="M6" s="7" t="s">
        <v>28</v>
      </c>
      <c r="N6" s="7"/>
    </row>
    <row r="7" spans="1:14" ht="13.5" customHeight="1">
      <c r="A7" s="124" t="s">
        <v>5</v>
      </c>
      <c r="B7" s="125"/>
      <c r="C7" s="130" t="s">
        <v>27</v>
      </c>
      <c r="D7" s="130"/>
      <c r="E7" s="130"/>
      <c r="F7" s="130"/>
      <c r="G7" s="130"/>
      <c r="H7" s="130"/>
      <c r="K7" s="133"/>
      <c r="L7" s="133"/>
      <c r="M7" s="7" t="s">
        <v>23</v>
      </c>
      <c r="N7" s="7"/>
    </row>
    <row r="8" spans="1:14" ht="13.5" customHeight="1">
      <c r="A8" s="124" t="s">
        <v>7</v>
      </c>
      <c r="B8" s="125"/>
      <c r="C8" s="130" t="s">
        <v>13</v>
      </c>
      <c r="D8" s="131"/>
      <c r="E8" s="131"/>
      <c r="F8" s="131"/>
      <c r="G8" s="131"/>
      <c r="H8" s="131"/>
      <c r="K8" s="133"/>
      <c r="L8" s="133"/>
      <c r="M8" s="7" t="s">
        <v>18</v>
      </c>
      <c r="N8" s="7"/>
    </row>
    <row r="9" spans="3:14" ht="13.5" customHeight="1">
      <c r="C9" s="131" t="s">
        <v>12</v>
      </c>
      <c r="D9" s="131"/>
      <c r="E9" s="131"/>
      <c r="F9" s="131"/>
      <c r="G9" s="131"/>
      <c r="H9" s="131"/>
      <c r="I9" s="131"/>
      <c r="J9" s="131"/>
      <c r="K9" s="133">
        <v>0.4444444444444444</v>
      </c>
      <c r="L9" s="133"/>
      <c r="M9" s="7" t="s">
        <v>22</v>
      </c>
      <c r="N9" s="7"/>
    </row>
    <row r="10" spans="1:14" ht="13.5" customHeight="1">
      <c r="A10" s="124" t="s">
        <v>14</v>
      </c>
      <c r="B10" s="124"/>
      <c r="C10" s="130" t="s">
        <v>17</v>
      </c>
      <c r="D10" s="130"/>
      <c r="E10" s="130"/>
      <c r="F10" s="130"/>
      <c r="G10" s="130"/>
      <c r="H10" s="130"/>
      <c r="I10" s="130"/>
      <c r="J10" s="130"/>
      <c r="K10" s="133">
        <v>0.46527777777777773</v>
      </c>
      <c r="L10" s="133"/>
      <c r="M10" s="7" t="s">
        <v>15</v>
      </c>
      <c r="N10" s="7"/>
    </row>
    <row r="11" spans="1:14" ht="13.5" customHeight="1">
      <c r="A11" s="124" t="s">
        <v>6</v>
      </c>
      <c r="B11" s="124"/>
      <c r="C11" s="132" t="s">
        <v>25</v>
      </c>
      <c r="D11" s="132"/>
      <c r="E11" s="132"/>
      <c r="F11" s="132"/>
      <c r="G11" s="132"/>
      <c r="H11" s="132"/>
      <c r="I11" s="132"/>
      <c r="J11" s="132"/>
      <c r="K11" s="133">
        <v>0.5208333333333334</v>
      </c>
      <c r="L11" s="133"/>
      <c r="M11" s="7" t="s">
        <v>16</v>
      </c>
      <c r="N11" s="7"/>
    </row>
    <row r="12" spans="1:13" ht="13.5" customHeight="1">
      <c r="A12" s="124" t="s">
        <v>10</v>
      </c>
      <c r="B12" s="125"/>
      <c r="C12" s="132" t="s">
        <v>21</v>
      </c>
      <c r="D12" s="132"/>
      <c r="E12" s="132"/>
      <c r="F12" s="132"/>
      <c r="G12" s="132"/>
      <c r="H12" s="132"/>
      <c r="I12" s="132"/>
      <c r="J12" s="132"/>
      <c r="K12" s="133">
        <v>0.5833333333333334</v>
      </c>
      <c r="L12" s="133"/>
      <c r="M12" s="7" t="s">
        <v>8</v>
      </c>
    </row>
    <row r="13" spans="1:13" ht="13.5" customHeight="1">
      <c r="A13" s="124"/>
      <c r="B13" s="125"/>
      <c r="C13" s="132"/>
      <c r="D13" s="132"/>
      <c r="E13" s="132"/>
      <c r="F13" s="132"/>
      <c r="G13" s="132"/>
      <c r="H13" s="132"/>
      <c r="I13" s="132"/>
      <c r="J13" s="132"/>
      <c r="K13" s="133"/>
      <c r="L13" s="133"/>
      <c r="M13" s="5" t="s">
        <v>19</v>
      </c>
    </row>
    <row r="14" spans="1:13" ht="12.75" customHeight="1">
      <c r="A14" s="128" t="s">
        <v>29</v>
      </c>
      <c r="B14" s="128"/>
      <c r="C14" s="134" t="s">
        <v>30</v>
      </c>
      <c r="D14" s="127"/>
      <c r="E14" s="127"/>
      <c r="F14" s="127"/>
      <c r="G14" s="127"/>
      <c r="H14" s="127"/>
      <c r="I14" s="127"/>
      <c r="J14" s="127"/>
      <c r="K14" s="133"/>
      <c r="L14" s="133"/>
      <c r="M14" s="5" t="s">
        <v>20</v>
      </c>
    </row>
    <row r="15" spans="1:13" ht="13.5" customHeight="1">
      <c r="A15" s="126"/>
      <c r="B15" s="126"/>
      <c r="C15" s="127" t="s">
        <v>31</v>
      </c>
      <c r="D15" s="127"/>
      <c r="E15" s="127"/>
      <c r="F15" s="127"/>
      <c r="G15" s="127"/>
      <c r="H15" s="127"/>
      <c r="I15" s="127"/>
      <c r="J15" s="127"/>
      <c r="K15" s="133">
        <v>0.6041666666666666</v>
      </c>
      <c r="L15" s="133"/>
      <c r="M15" s="7" t="s">
        <v>9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 customHeight="1"/>
    <row r="42" ht="12.75" customHeight="1" thickBot="1"/>
    <row r="43" spans="1:11" ht="12.75" customHeight="1">
      <c r="A43" s="29"/>
      <c r="B43" s="30"/>
      <c r="C43" s="75" t="s">
        <v>97</v>
      </c>
      <c r="D43" s="26"/>
      <c r="E43" s="20"/>
      <c r="F43" s="20"/>
      <c r="G43" s="20"/>
      <c r="H43" s="20"/>
      <c r="I43" s="20"/>
      <c r="J43" s="20"/>
      <c r="K43" s="21"/>
    </row>
    <row r="44" spans="1:11" ht="12.75" customHeight="1">
      <c r="A44" s="31"/>
      <c r="B44" s="32"/>
      <c r="C44" s="76"/>
      <c r="D44" s="27"/>
      <c r="E44" s="22"/>
      <c r="F44" s="22"/>
      <c r="G44" s="22"/>
      <c r="H44" s="22"/>
      <c r="I44" s="22"/>
      <c r="J44" s="22"/>
      <c r="K44" s="23"/>
    </row>
    <row r="45" spans="1:11" ht="12.75" customHeight="1">
      <c r="A45" s="31"/>
      <c r="B45" s="32"/>
      <c r="C45" s="76"/>
      <c r="D45" s="27"/>
      <c r="E45" s="22"/>
      <c r="F45" s="22"/>
      <c r="G45" s="22"/>
      <c r="H45" s="22"/>
      <c r="I45" s="22"/>
      <c r="J45" s="22"/>
      <c r="K45" s="23"/>
    </row>
    <row r="46" spans="1:11" ht="12.75" customHeight="1">
      <c r="A46" s="31"/>
      <c r="B46" s="32"/>
      <c r="C46" s="76"/>
      <c r="D46" s="27"/>
      <c r="E46" s="22"/>
      <c r="F46" s="22"/>
      <c r="G46" s="22"/>
      <c r="H46" s="22"/>
      <c r="I46" s="22"/>
      <c r="J46" s="22"/>
      <c r="K46" s="23"/>
    </row>
    <row r="47" spans="1:11" ht="12.75" customHeight="1">
      <c r="A47" s="31"/>
      <c r="B47" s="32"/>
      <c r="C47" s="76"/>
      <c r="D47" s="27"/>
      <c r="E47" s="22"/>
      <c r="F47" s="22"/>
      <c r="G47" s="22"/>
      <c r="H47" s="22"/>
      <c r="I47" s="22"/>
      <c r="J47" s="22"/>
      <c r="K47" s="23"/>
    </row>
    <row r="48" spans="1:11" ht="12.75" customHeight="1">
      <c r="A48" s="31"/>
      <c r="B48" s="32"/>
      <c r="C48" s="76"/>
      <c r="D48" s="27"/>
      <c r="E48" s="22"/>
      <c r="F48" s="22"/>
      <c r="G48" s="22"/>
      <c r="H48" s="22"/>
      <c r="I48" s="22"/>
      <c r="J48" s="22"/>
      <c r="K48" s="23"/>
    </row>
    <row r="49" spans="1:11" ht="12.75" customHeight="1">
      <c r="A49" s="31"/>
      <c r="B49" s="32"/>
      <c r="C49" s="65">
        <v>40</v>
      </c>
      <c r="D49" s="27"/>
      <c r="E49" s="22"/>
      <c r="F49" s="22"/>
      <c r="G49" s="22"/>
      <c r="H49" s="22"/>
      <c r="I49" s="22"/>
      <c r="J49" s="22"/>
      <c r="K49" s="23"/>
    </row>
    <row r="50" spans="1:11" ht="12.75" customHeight="1">
      <c r="A50" s="31"/>
      <c r="B50" s="32"/>
      <c r="C50" s="65"/>
      <c r="D50" s="27"/>
      <c r="E50" s="22"/>
      <c r="F50" s="22"/>
      <c r="G50" s="22"/>
      <c r="H50" s="22"/>
      <c r="I50" s="22"/>
      <c r="J50" s="22"/>
      <c r="K50" s="23"/>
    </row>
    <row r="51" spans="1:11" ht="12.75" customHeight="1">
      <c r="A51" s="84" t="s">
        <v>85</v>
      </c>
      <c r="B51" s="85"/>
      <c r="C51" s="44"/>
      <c r="D51" s="27"/>
      <c r="E51" s="22"/>
      <c r="F51" s="22"/>
      <c r="G51" s="22"/>
      <c r="H51" s="22"/>
      <c r="I51" s="22"/>
      <c r="J51" s="22"/>
      <c r="K51" s="23"/>
    </row>
    <row r="52" spans="1:11" ht="12.75" customHeight="1">
      <c r="A52" s="84"/>
      <c r="B52" s="85"/>
      <c r="C52" s="44">
        <v>30</v>
      </c>
      <c r="D52" s="27"/>
      <c r="E52" s="22"/>
      <c r="F52" s="22"/>
      <c r="G52" s="22"/>
      <c r="H52" s="22"/>
      <c r="I52" s="22"/>
      <c r="J52" s="22"/>
      <c r="K52" s="23"/>
    </row>
    <row r="53" spans="1:11" ht="12.75" customHeight="1">
      <c r="A53" s="31"/>
      <c r="B53" s="32"/>
      <c r="C53" s="44"/>
      <c r="D53" s="27"/>
      <c r="E53" s="22"/>
      <c r="F53" s="22"/>
      <c r="G53" s="22"/>
      <c r="H53" s="22"/>
      <c r="I53" s="22"/>
      <c r="J53" s="22"/>
      <c r="K53" s="23"/>
    </row>
    <row r="54" spans="1:11" ht="12.75" customHeight="1">
      <c r="A54" s="31"/>
      <c r="B54" s="32"/>
      <c r="C54" s="44"/>
      <c r="D54" s="27"/>
      <c r="E54" s="22"/>
      <c r="F54" s="22"/>
      <c r="G54" s="22"/>
      <c r="H54" s="22"/>
      <c r="I54" s="22"/>
      <c r="J54" s="22"/>
      <c r="K54" s="23"/>
    </row>
    <row r="55" spans="1:11" ht="12.75" customHeight="1">
      <c r="A55" s="31"/>
      <c r="B55" s="32"/>
      <c r="C55" s="65">
        <v>20</v>
      </c>
      <c r="D55" s="27"/>
      <c r="E55" s="22"/>
      <c r="F55" s="22"/>
      <c r="G55" s="22"/>
      <c r="H55" s="22"/>
      <c r="I55" s="22"/>
      <c r="J55" s="22"/>
      <c r="K55" s="23"/>
    </row>
    <row r="56" spans="1:11" ht="12.75" customHeight="1">
      <c r="A56" s="31"/>
      <c r="B56" s="32"/>
      <c r="C56" s="65"/>
      <c r="D56" s="27"/>
      <c r="E56" s="22"/>
      <c r="F56" s="22"/>
      <c r="G56" s="22"/>
      <c r="H56" s="22"/>
      <c r="I56" s="22"/>
      <c r="J56" s="22"/>
      <c r="K56" s="23"/>
    </row>
    <row r="57" spans="1:20" ht="12.75" customHeight="1">
      <c r="A57" s="31"/>
      <c r="B57" s="32"/>
      <c r="C57" s="65">
        <v>15</v>
      </c>
      <c r="D57" s="27"/>
      <c r="E57" s="22"/>
      <c r="F57" s="22"/>
      <c r="G57" s="22"/>
      <c r="H57" s="22"/>
      <c r="I57" s="22"/>
      <c r="J57" s="22"/>
      <c r="K57" s="23"/>
      <c r="N57" s="35"/>
      <c r="O57" s="35"/>
      <c r="P57" s="35"/>
      <c r="Q57" s="35"/>
      <c r="R57" s="35"/>
      <c r="S57" s="35"/>
      <c r="T57" s="35"/>
    </row>
    <row r="58" spans="1:20" ht="12.75" customHeight="1">
      <c r="A58" s="31"/>
      <c r="B58" s="32"/>
      <c r="C58" s="65"/>
      <c r="D58" s="27"/>
      <c r="E58" s="22"/>
      <c r="F58" s="22"/>
      <c r="G58" s="22"/>
      <c r="H58" s="22"/>
      <c r="I58" s="22"/>
      <c r="J58" s="22"/>
      <c r="K58" s="23"/>
      <c r="N58" s="37" t="s">
        <v>86</v>
      </c>
      <c r="O58" s="38"/>
      <c r="P58" s="38"/>
      <c r="Q58" s="38"/>
      <c r="R58" s="38"/>
      <c r="S58" s="38"/>
      <c r="T58" s="38"/>
    </row>
    <row r="59" spans="1:20" ht="12.75" customHeight="1">
      <c r="A59" s="31"/>
      <c r="B59" s="32"/>
      <c r="C59" s="44"/>
      <c r="D59" s="27"/>
      <c r="E59" s="22"/>
      <c r="F59" s="22"/>
      <c r="G59" s="22"/>
      <c r="H59" s="22"/>
      <c r="I59" s="22"/>
      <c r="J59" s="22"/>
      <c r="K59" s="23"/>
      <c r="N59" s="37" t="s">
        <v>94</v>
      </c>
      <c r="O59" s="38"/>
      <c r="P59" s="38"/>
      <c r="Q59" s="38"/>
      <c r="R59" s="38"/>
      <c r="S59" s="38"/>
      <c r="T59" s="38"/>
    </row>
    <row r="60" spans="1:20" ht="12.75" customHeight="1" thickBot="1">
      <c r="A60" s="33"/>
      <c r="B60" s="34"/>
      <c r="C60" s="45"/>
      <c r="D60" s="28"/>
      <c r="E60" s="24"/>
      <c r="F60" s="24"/>
      <c r="G60" s="24"/>
      <c r="H60" s="24"/>
      <c r="I60" s="24"/>
      <c r="J60" s="24"/>
      <c r="K60" s="25"/>
      <c r="N60" s="43" t="s">
        <v>95</v>
      </c>
      <c r="O60" s="40"/>
      <c r="P60" s="40"/>
      <c r="Q60" s="41"/>
      <c r="R60" s="39"/>
      <c r="S60" s="40"/>
      <c r="T60" s="40"/>
    </row>
    <row r="61" spans="1:20" ht="12.75" customHeight="1">
      <c r="A61" s="72" t="s">
        <v>75</v>
      </c>
      <c r="B61" s="73"/>
      <c r="C61" s="74"/>
      <c r="D61" s="70">
        <f>INDEX(Ave_Calc!$A:$XFD,9,7)</f>
        <v>40758</v>
      </c>
      <c r="E61" s="71"/>
      <c r="F61" s="71">
        <f>INDEX(Ave_Calc!$A:$XFD,9,8)</f>
        <v>40873</v>
      </c>
      <c r="G61" s="71"/>
      <c r="H61" s="71">
        <f>INDEX(Ave_Calc!$A:$XFD,9,9)</f>
        <v>40986</v>
      </c>
      <c r="I61" s="123"/>
      <c r="J61" s="71">
        <f>INDEX(Ave_Calc!$A:$XFD,9,10)</f>
        <v>41055</v>
      </c>
      <c r="K61" s="95"/>
      <c r="N61" s="43" t="s">
        <v>87</v>
      </c>
      <c r="O61" s="42"/>
      <c r="P61" s="42"/>
      <c r="Q61" s="42"/>
      <c r="R61" s="42"/>
      <c r="S61" s="42"/>
      <c r="T61" s="42"/>
    </row>
    <row r="62" spans="1:20" ht="12.75" customHeight="1">
      <c r="A62" s="118" t="s">
        <v>76</v>
      </c>
      <c r="B62" s="119"/>
      <c r="C62" s="120"/>
      <c r="D62" s="121">
        <f>INDEX(Ave_Calc!$A:$XFD,8,7)</f>
        <v>145</v>
      </c>
      <c r="E62" s="96"/>
      <c r="F62" s="96">
        <f>INDEX(Ave_Calc!$A:$XFD,8,8)</f>
        <v>260</v>
      </c>
      <c r="G62" s="96"/>
      <c r="H62" s="96">
        <f>INDEX(Ave_Calc!$A:$XFD,8,9)</f>
        <v>373</v>
      </c>
      <c r="I62" s="122"/>
      <c r="J62" s="96">
        <f>INDEX(Ave_Calc!$A:$XFD,8,10)</f>
        <v>442</v>
      </c>
      <c r="K62" s="97"/>
      <c r="N62" s="43" t="s">
        <v>88</v>
      </c>
      <c r="O62" s="42"/>
      <c r="P62" s="42"/>
      <c r="Q62" s="42"/>
      <c r="R62" s="42"/>
      <c r="S62" s="42"/>
      <c r="T62" s="42"/>
    </row>
    <row r="63" spans="1:20" ht="12.75" customHeight="1">
      <c r="A63" s="86" t="s">
        <v>77</v>
      </c>
      <c r="B63" s="87"/>
      <c r="C63" s="88"/>
      <c r="D63" s="68">
        <f>INDEX(Ave_Calc!$A:$XFD,13,7)</f>
        <v>23</v>
      </c>
      <c r="E63" s="69"/>
      <c r="F63" s="69">
        <f>INDEX(Ave_Calc!$A:$XFD,13,8)</f>
        <v>18.9</v>
      </c>
      <c r="G63" s="69"/>
      <c r="H63" s="69">
        <f>INDEX(Ave_Calc!$A:$XFD,13,9)</f>
        <v>17</v>
      </c>
      <c r="I63" s="117"/>
      <c r="J63" s="69">
        <f>INDEX(Ave_Calc!$A:$XFD,13,10)</f>
        <v>20.4</v>
      </c>
      <c r="K63" s="98"/>
      <c r="N63" s="43" t="s">
        <v>89</v>
      </c>
      <c r="O63" s="42"/>
      <c r="P63" s="42"/>
      <c r="Q63" s="42"/>
      <c r="R63" s="42"/>
      <c r="S63" s="42"/>
      <c r="T63" s="42"/>
    </row>
    <row r="64" spans="1:20" ht="12.75" customHeight="1">
      <c r="A64" s="78" t="s">
        <v>78</v>
      </c>
      <c r="B64" s="79"/>
      <c r="C64" s="80"/>
      <c r="D64" s="82">
        <f>INDEX(Ave_Calc!$A:$XFD,14,7)</f>
        <v>13.7</v>
      </c>
      <c r="E64" s="83"/>
      <c r="F64" s="83">
        <f>INDEX(Ave_Calc!$A:$XFD,14,8)</f>
        <v>17.2</v>
      </c>
      <c r="G64" s="83"/>
      <c r="H64" s="83">
        <f>INDEX(Ave_Calc!$A:$XFD,14,9)</f>
        <v>13.2</v>
      </c>
      <c r="I64" s="103"/>
      <c r="J64" s="83">
        <f>INDEX(Ave_Calc!$A:$XFD,14,10)</f>
        <v>10.4</v>
      </c>
      <c r="K64" s="99"/>
      <c r="N64" s="43" t="s">
        <v>90</v>
      </c>
      <c r="O64" s="42"/>
      <c r="P64" s="42"/>
      <c r="Q64" s="42"/>
      <c r="R64" s="42"/>
      <c r="S64" s="42"/>
      <c r="T64" s="42"/>
    </row>
    <row r="65" spans="1:20" ht="12.75" customHeight="1">
      <c r="A65" s="78" t="s">
        <v>79</v>
      </c>
      <c r="B65" s="79"/>
      <c r="C65" s="80"/>
      <c r="D65" s="66">
        <f>INDEX(Ave_Calc!$A:$XFD,23,7)</f>
        <v>18.17388903730243</v>
      </c>
      <c r="E65" s="67"/>
      <c r="F65" s="67">
        <f>INDEX(Ave_Calc!$A:$XFD,23,8)</f>
        <v>18.372176240695335</v>
      </c>
      <c r="G65" s="67"/>
      <c r="H65" s="67">
        <f>INDEX(Ave_Calc!$A:$XFD,23,9)</f>
        <v>15.621071536421763</v>
      </c>
      <c r="I65" s="81"/>
      <c r="J65" s="67">
        <f>INDEX(Ave_Calc!$A:$XFD,23,10)</f>
        <v>13.373893466495666</v>
      </c>
      <c r="K65" s="77"/>
      <c r="N65" s="43" t="s">
        <v>91</v>
      </c>
      <c r="O65" s="42"/>
      <c r="P65" s="42"/>
      <c r="Q65" s="42"/>
      <c r="R65" s="42"/>
      <c r="S65" s="42"/>
      <c r="T65" s="42"/>
    </row>
    <row r="66" spans="1:20" ht="12.75" customHeight="1">
      <c r="A66" s="106" t="s">
        <v>80</v>
      </c>
      <c r="B66" s="107"/>
      <c r="C66" s="108"/>
      <c r="D66" s="109">
        <f>INDEX(Ave_Calc!$A:$XFD,24,7)</f>
        <v>1.1662358196531384</v>
      </c>
      <c r="E66" s="100"/>
      <c r="F66" s="100">
        <f>INDEX(Ave_Calc!$A:$XFD,24,8)</f>
        <v>1.0279051274535915</v>
      </c>
      <c r="G66" s="100"/>
      <c r="H66" s="100">
        <f>INDEX(Ave_Calc!$A:$XFD,24,9)</f>
        <v>1.0816375482185177</v>
      </c>
      <c r="I66" s="101"/>
      <c r="J66" s="100">
        <f>INDEX(Ave_Calc!$A:$XFD,24,10)</f>
        <v>1.251304570808024</v>
      </c>
      <c r="K66" s="102"/>
      <c r="N66" s="43" t="s">
        <v>92</v>
      </c>
      <c r="O66" s="42"/>
      <c r="P66" s="42"/>
      <c r="Q66" s="42"/>
      <c r="R66" s="42"/>
      <c r="S66" s="42"/>
      <c r="T66" s="42"/>
    </row>
    <row r="67" spans="1:20" ht="12.75" customHeight="1">
      <c r="A67" s="18" t="s">
        <v>81</v>
      </c>
      <c r="B67" s="115" t="s">
        <v>82</v>
      </c>
      <c r="C67" s="116"/>
      <c r="D67" s="113">
        <f>INDEX(Ave_Calc!$A:$XFD,26,7)</f>
        <v>-0.0002873491097164654</v>
      </c>
      <c r="E67" s="90"/>
      <c r="F67" s="90"/>
      <c r="G67" s="114"/>
      <c r="H67" s="89">
        <f>INDEX(Ave_Calc!$A:$XFD,26,8)</f>
        <v>1.3136256345208641</v>
      </c>
      <c r="I67" s="90"/>
      <c r="J67" s="90"/>
      <c r="K67" s="91"/>
      <c r="N67" s="43" t="s">
        <v>96</v>
      </c>
      <c r="O67" s="42"/>
      <c r="P67" s="42"/>
      <c r="Q67" s="42"/>
      <c r="R67" s="42"/>
      <c r="S67" s="42"/>
      <c r="T67" s="42"/>
    </row>
    <row r="68" spans="1:20" ht="12.75" customHeight="1" thickBot="1">
      <c r="A68" s="19" t="s">
        <v>84</v>
      </c>
      <c r="B68" s="104" t="s">
        <v>83</v>
      </c>
      <c r="C68" s="105"/>
      <c r="D68" s="110">
        <f>INDEX(Ave_Calc!$A:$XFD,26,9)</f>
        <v>0.6918216623165366</v>
      </c>
      <c r="E68" s="111"/>
      <c r="F68" s="111"/>
      <c r="G68" s="112"/>
      <c r="H68" s="92" t="str">
        <f>TEXT(LN(2)/ABS(LN(10^D67)),"#,##0")&amp;"d"&amp;"("&amp;TEXT(LN(2)/ABS(LN(10^D67))/365.42,"0.00")&amp;"y)"</f>
        <v>1,048d(2.87y)</v>
      </c>
      <c r="I68" s="93"/>
      <c r="J68" s="93"/>
      <c r="K68" s="94"/>
      <c r="N68" s="43" t="s">
        <v>93</v>
      </c>
      <c r="O68" s="42"/>
      <c r="P68" s="42"/>
      <c r="Q68" s="42"/>
      <c r="R68" s="42"/>
      <c r="S68" s="42"/>
      <c r="T68" s="42"/>
    </row>
    <row r="69" spans="14:20" ht="12.75" customHeight="1">
      <c r="N69" s="36"/>
      <c r="O69" s="36"/>
      <c r="P69" s="36"/>
      <c r="Q69" s="36"/>
      <c r="R69" s="36"/>
      <c r="S69" s="36"/>
      <c r="T69" s="36"/>
    </row>
    <row r="70" ht="12.75" customHeight="1"/>
  </sheetData>
  <mergeCells count="72">
    <mergeCell ref="K15:L15"/>
    <mergeCell ref="K13:L13"/>
    <mergeCell ref="C13:J13"/>
    <mergeCell ref="K14:L14"/>
    <mergeCell ref="C14:J14"/>
    <mergeCell ref="K10:L10"/>
    <mergeCell ref="K11:L11"/>
    <mergeCell ref="K12:L12"/>
    <mergeCell ref="C9:J9"/>
    <mergeCell ref="C10:J10"/>
    <mergeCell ref="C11:J11"/>
    <mergeCell ref="K9:L9"/>
    <mergeCell ref="C12:J12"/>
    <mergeCell ref="A3:T4"/>
    <mergeCell ref="C8:H8"/>
    <mergeCell ref="C7:H7"/>
    <mergeCell ref="C6:H6"/>
    <mergeCell ref="A6:B6"/>
    <mergeCell ref="A7:B7"/>
    <mergeCell ref="K6:L6"/>
    <mergeCell ref="K7:L7"/>
    <mergeCell ref="K5:L5"/>
    <mergeCell ref="K8:L8"/>
    <mergeCell ref="F61:G61"/>
    <mergeCell ref="H61:I61"/>
    <mergeCell ref="A8:B8"/>
    <mergeCell ref="A10:B10"/>
    <mergeCell ref="A11:B11"/>
    <mergeCell ref="A12:B12"/>
    <mergeCell ref="A15:B15"/>
    <mergeCell ref="C15:J15"/>
    <mergeCell ref="A13:B13"/>
    <mergeCell ref="A14:B14"/>
    <mergeCell ref="F63:G63"/>
    <mergeCell ref="H63:I63"/>
    <mergeCell ref="A62:C62"/>
    <mergeCell ref="D62:E62"/>
    <mergeCell ref="F62:G62"/>
    <mergeCell ref="H62:I62"/>
    <mergeCell ref="B68:C68"/>
    <mergeCell ref="A66:C66"/>
    <mergeCell ref="D66:E66"/>
    <mergeCell ref="F66:G66"/>
    <mergeCell ref="D68:G68"/>
    <mergeCell ref="D67:G67"/>
    <mergeCell ref="B67:C67"/>
    <mergeCell ref="H67:K67"/>
    <mergeCell ref="H68:K68"/>
    <mergeCell ref="J61:K61"/>
    <mergeCell ref="J62:K62"/>
    <mergeCell ref="J63:K63"/>
    <mergeCell ref="J64:K64"/>
    <mergeCell ref="H66:I66"/>
    <mergeCell ref="J66:K66"/>
    <mergeCell ref="H64:I64"/>
    <mergeCell ref="F65:G65"/>
    <mergeCell ref="C43:C48"/>
    <mergeCell ref="J65:K65"/>
    <mergeCell ref="A65:C65"/>
    <mergeCell ref="H65:I65"/>
    <mergeCell ref="A64:C64"/>
    <mergeCell ref="D64:E64"/>
    <mergeCell ref="F64:G64"/>
    <mergeCell ref="A51:B52"/>
    <mergeCell ref="A63:C63"/>
    <mergeCell ref="C57:C58"/>
    <mergeCell ref="C55:C56"/>
    <mergeCell ref="C49:C50"/>
    <mergeCell ref="D65:E65"/>
    <mergeCell ref="D63:E63"/>
    <mergeCell ref="D61:E61"/>
    <mergeCell ref="A61:C61"/>
  </mergeCells>
  <printOptions/>
  <pageMargins left="0.7874015748031497" right="0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1" width="4.625" style="5" customWidth="1"/>
    <col min="22" max="16384" width="9.00390625" style="5" customWidth="1"/>
  </cols>
  <sheetData>
    <row r="1" ht="12.75" customHeight="1"/>
    <row r="2" ht="12.75" customHeight="1"/>
    <row r="3" spans="1:20" ht="12.75" customHeight="1">
      <c r="A3" s="129" t="s">
        <v>24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1:12" ht="12.75">
      <c r="K5" s="133"/>
      <c r="L5" s="133"/>
    </row>
    <row r="6" spans="1:14" ht="13.5" customHeight="1">
      <c r="A6" s="124" t="s">
        <v>4</v>
      </c>
      <c r="B6" s="125"/>
      <c r="C6" s="132" t="s">
        <v>26</v>
      </c>
      <c r="D6" s="132"/>
      <c r="E6" s="132"/>
      <c r="F6" s="132"/>
      <c r="G6" s="132"/>
      <c r="H6" s="132"/>
      <c r="K6" s="133">
        <v>0.4305555555555556</v>
      </c>
      <c r="L6" s="133"/>
      <c r="M6" s="7" t="s">
        <v>28</v>
      </c>
      <c r="N6" s="7"/>
    </row>
    <row r="7" spans="1:14" ht="13.5" customHeight="1">
      <c r="A7" s="124" t="s">
        <v>5</v>
      </c>
      <c r="B7" s="125"/>
      <c r="C7" s="130" t="s">
        <v>27</v>
      </c>
      <c r="D7" s="130"/>
      <c r="E7" s="130"/>
      <c r="F7" s="130"/>
      <c r="G7" s="130"/>
      <c r="H7" s="130"/>
      <c r="K7" s="133"/>
      <c r="L7" s="133"/>
      <c r="M7" s="7" t="s">
        <v>23</v>
      </c>
      <c r="N7" s="7"/>
    </row>
    <row r="8" spans="1:14" ht="13.5" customHeight="1">
      <c r="A8" s="124" t="s">
        <v>7</v>
      </c>
      <c r="B8" s="125"/>
      <c r="C8" s="130" t="s">
        <v>13</v>
      </c>
      <c r="D8" s="131"/>
      <c r="E8" s="131"/>
      <c r="F8" s="131"/>
      <c r="G8" s="131"/>
      <c r="H8" s="131"/>
      <c r="K8" s="133"/>
      <c r="L8" s="133"/>
      <c r="M8" s="7" t="s">
        <v>18</v>
      </c>
      <c r="N8" s="7"/>
    </row>
    <row r="9" spans="3:14" ht="13.5" customHeight="1">
      <c r="C9" s="131" t="s">
        <v>12</v>
      </c>
      <c r="D9" s="131"/>
      <c r="E9" s="131"/>
      <c r="F9" s="131"/>
      <c r="G9" s="131"/>
      <c r="H9" s="131"/>
      <c r="I9" s="131"/>
      <c r="J9" s="131"/>
      <c r="K9" s="133">
        <v>0.4444444444444444</v>
      </c>
      <c r="L9" s="133"/>
      <c r="M9" s="7" t="s">
        <v>22</v>
      </c>
      <c r="N9" s="7"/>
    </row>
    <row r="10" spans="1:14" ht="13.5" customHeight="1">
      <c r="A10" s="124" t="s">
        <v>14</v>
      </c>
      <c r="B10" s="124"/>
      <c r="C10" s="130" t="s">
        <v>17</v>
      </c>
      <c r="D10" s="130"/>
      <c r="E10" s="130"/>
      <c r="F10" s="130"/>
      <c r="G10" s="130"/>
      <c r="H10" s="130"/>
      <c r="I10" s="130"/>
      <c r="J10" s="130"/>
      <c r="K10" s="133">
        <v>0.46527777777777773</v>
      </c>
      <c r="L10" s="133"/>
      <c r="M10" s="7" t="s">
        <v>15</v>
      </c>
      <c r="N10" s="7"/>
    </row>
    <row r="11" spans="1:14" ht="13.5" customHeight="1">
      <c r="A11" s="124" t="s">
        <v>6</v>
      </c>
      <c r="B11" s="124"/>
      <c r="C11" s="132" t="s">
        <v>25</v>
      </c>
      <c r="D11" s="132"/>
      <c r="E11" s="132"/>
      <c r="F11" s="132"/>
      <c r="G11" s="132"/>
      <c r="H11" s="132"/>
      <c r="I11" s="132"/>
      <c r="J11" s="132"/>
      <c r="K11" s="133">
        <v>0.5208333333333334</v>
      </c>
      <c r="L11" s="133"/>
      <c r="M11" s="7" t="s">
        <v>16</v>
      </c>
      <c r="N11" s="7"/>
    </row>
    <row r="12" spans="1:13" ht="13.5" customHeight="1">
      <c r="A12" s="124" t="s">
        <v>10</v>
      </c>
      <c r="B12" s="125"/>
      <c r="C12" s="132" t="s">
        <v>21</v>
      </c>
      <c r="D12" s="132"/>
      <c r="E12" s="132"/>
      <c r="F12" s="132"/>
      <c r="G12" s="132"/>
      <c r="H12" s="132"/>
      <c r="I12" s="132"/>
      <c r="J12" s="132"/>
      <c r="K12" s="133">
        <v>0.5833333333333334</v>
      </c>
      <c r="L12" s="133"/>
      <c r="M12" s="7" t="s">
        <v>8</v>
      </c>
    </row>
    <row r="13" spans="1:13" ht="13.5" customHeight="1">
      <c r="A13" s="124"/>
      <c r="B13" s="125"/>
      <c r="C13" s="132"/>
      <c r="D13" s="132"/>
      <c r="E13" s="132"/>
      <c r="F13" s="132"/>
      <c r="G13" s="132"/>
      <c r="H13" s="132"/>
      <c r="I13" s="132"/>
      <c r="J13" s="132"/>
      <c r="K13" s="133"/>
      <c r="L13" s="133"/>
      <c r="M13" s="5" t="s">
        <v>19</v>
      </c>
    </row>
    <row r="14" spans="1:13" ht="12.75" customHeight="1">
      <c r="A14" s="128" t="s">
        <v>29</v>
      </c>
      <c r="B14" s="128"/>
      <c r="C14" s="134" t="s">
        <v>30</v>
      </c>
      <c r="D14" s="127"/>
      <c r="E14" s="127"/>
      <c r="F14" s="127"/>
      <c r="G14" s="127"/>
      <c r="H14" s="127"/>
      <c r="I14" s="127"/>
      <c r="J14" s="127"/>
      <c r="K14" s="133"/>
      <c r="L14" s="133"/>
      <c r="M14" s="5" t="s">
        <v>20</v>
      </c>
    </row>
    <row r="15" spans="1:13" ht="13.5" customHeight="1">
      <c r="A15" s="126"/>
      <c r="B15" s="126"/>
      <c r="C15" s="127" t="s">
        <v>31</v>
      </c>
      <c r="D15" s="127"/>
      <c r="E15" s="127"/>
      <c r="F15" s="127"/>
      <c r="G15" s="127"/>
      <c r="H15" s="127"/>
      <c r="I15" s="127"/>
      <c r="J15" s="127"/>
      <c r="K15" s="133">
        <v>0.6041666666666666</v>
      </c>
      <c r="L15" s="133"/>
      <c r="M15" s="7" t="s">
        <v>9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4:20" ht="12.75">
      <c r="N30" s="35"/>
      <c r="O30" s="35"/>
      <c r="P30" s="35"/>
      <c r="Q30" s="35"/>
      <c r="R30" s="35"/>
      <c r="S30" s="35"/>
      <c r="T30" s="35"/>
    </row>
    <row r="31" spans="14:20" ht="12.75">
      <c r="N31" s="37" t="s">
        <v>86</v>
      </c>
      <c r="O31" s="38"/>
      <c r="P31" s="38"/>
      <c r="Q31" s="38"/>
      <c r="R31" s="38"/>
      <c r="S31" s="38"/>
      <c r="T31" s="38"/>
    </row>
    <row r="32" spans="14:20" ht="12.75">
      <c r="N32" s="37" t="s">
        <v>94</v>
      </c>
      <c r="O32" s="38"/>
      <c r="P32" s="38"/>
      <c r="Q32" s="38"/>
      <c r="R32" s="38"/>
      <c r="S32" s="38"/>
      <c r="T32" s="38"/>
    </row>
    <row r="33" spans="14:20" ht="12.75">
      <c r="N33" s="43" t="s">
        <v>95</v>
      </c>
      <c r="O33" s="40"/>
      <c r="P33" s="40"/>
      <c r="Q33" s="41"/>
      <c r="R33" s="39"/>
      <c r="S33" s="40"/>
      <c r="T33" s="40"/>
    </row>
    <row r="34" spans="14:20" ht="12.75">
      <c r="N34" s="43" t="s">
        <v>87</v>
      </c>
      <c r="O34" s="42"/>
      <c r="P34" s="42"/>
      <c r="Q34" s="42"/>
      <c r="R34" s="42"/>
      <c r="S34" s="42"/>
      <c r="T34" s="42"/>
    </row>
    <row r="35" spans="14:20" ht="12.75">
      <c r="N35" s="43" t="s">
        <v>88</v>
      </c>
      <c r="O35" s="42"/>
      <c r="P35" s="42"/>
      <c r="Q35" s="42"/>
      <c r="R35" s="42"/>
      <c r="S35" s="42"/>
      <c r="T35" s="42"/>
    </row>
    <row r="36" spans="14:20" ht="12.75">
      <c r="N36" s="43" t="s">
        <v>89</v>
      </c>
      <c r="O36" s="42"/>
      <c r="P36" s="42"/>
      <c r="Q36" s="42"/>
      <c r="R36" s="42"/>
      <c r="S36" s="42"/>
      <c r="T36" s="42"/>
    </row>
    <row r="37" spans="14:20" ht="12.75">
      <c r="N37" s="43" t="s">
        <v>90</v>
      </c>
      <c r="O37" s="42"/>
      <c r="P37" s="42"/>
      <c r="Q37" s="42"/>
      <c r="R37" s="42"/>
      <c r="S37" s="42"/>
      <c r="T37" s="42"/>
    </row>
    <row r="38" spans="14:20" ht="12.75">
      <c r="N38" s="43" t="s">
        <v>91</v>
      </c>
      <c r="O38" s="42"/>
      <c r="P38" s="42"/>
      <c r="Q38" s="42"/>
      <c r="R38" s="42"/>
      <c r="S38" s="42"/>
      <c r="T38" s="42"/>
    </row>
    <row r="39" spans="14:20" ht="12.75">
      <c r="N39" s="43" t="s">
        <v>92</v>
      </c>
      <c r="O39" s="42"/>
      <c r="P39" s="42"/>
      <c r="Q39" s="42"/>
      <c r="R39" s="42"/>
      <c r="S39" s="42"/>
      <c r="T39" s="42"/>
    </row>
    <row r="40" spans="14:20" ht="12.75">
      <c r="N40" s="43" t="s">
        <v>96</v>
      </c>
      <c r="O40" s="42"/>
      <c r="P40" s="42"/>
      <c r="Q40" s="42"/>
      <c r="R40" s="42"/>
      <c r="S40" s="42"/>
      <c r="T40" s="42"/>
    </row>
    <row r="41" spans="14:20" ht="12.75" customHeight="1">
      <c r="N41" s="43" t="s">
        <v>93</v>
      </c>
      <c r="O41" s="42"/>
      <c r="P41" s="42"/>
      <c r="Q41" s="42"/>
      <c r="R41" s="42"/>
      <c r="S41" s="42"/>
      <c r="T41" s="42"/>
    </row>
    <row r="42" spans="14:20" ht="12.75" customHeight="1" thickBot="1">
      <c r="N42" s="36"/>
      <c r="O42" s="36"/>
      <c r="P42" s="36"/>
      <c r="Q42" s="36"/>
      <c r="R42" s="36"/>
      <c r="S42" s="36"/>
      <c r="T42" s="36"/>
    </row>
    <row r="43" spans="1:20" ht="12.75" customHeight="1">
      <c r="A43" s="29"/>
      <c r="B43" s="30"/>
      <c r="C43" s="49"/>
      <c r="D43" s="159">
        <v>100</v>
      </c>
      <c r="E43" s="16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2.75" customHeight="1">
      <c r="A44" s="31"/>
      <c r="B44" s="32"/>
      <c r="C44" s="50"/>
      <c r="D44" s="60"/>
      <c r="E44" s="6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</row>
    <row r="45" spans="1:20" ht="12.75" customHeight="1">
      <c r="A45" s="31"/>
      <c r="B45" s="32"/>
      <c r="C45" s="50"/>
      <c r="D45" s="60"/>
      <c r="E45" s="6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</row>
    <row r="46" spans="1:20" ht="12.75" customHeight="1">
      <c r="A46" s="31"/>
      <c r="B46" s="32"/>
      <c r="C46" s="50"/>
      <c r="D46" s="60"/>
      <c r="E46" s="6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</row>
    <row r="47" spans="1:20" ht="12.75" customHeight="1">
      <c r="A47" s="31"/>
      <c r="B47" s="32"/>
      <c r="C47" s="50"/>
      <c r="D47" s="157">
        <v>10</v>
      </c>
      <c r="E47" s="158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</row>
    <row r="48" spans="1:20" ht="12.75" customHeight="1">
      <c r="A48" s="31"/>
      <c r="B48" s="32"/>
      <c r="C48" s="50"/>
      <c r="D48" s="157"/>
      <c r="E48" s="158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</row>
    <row r="49" spans="1:20" ht="12.75" customHeight="1">
      <c r="A49" s="31"/>
      <c r="B49" s="32"/>
      <c r="C49" s="48"/>
      <c r="D49" s="60"/>
      <c r="E49" s="6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ht="12.75" customHeight="1">
      <c r="A50" s="31"/>
      <c r="B50" s="32"/>
      <c r="C50" s="48"/>
      <c r="D50" s="60"/>
      <c r="E50" s="6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</row>
    <row r="51" spans="1:20" ht="12.75" customHeight="1">
      <c r="A51" s="84" t="s">
        <v>85</v>
      </c>
      <c r="B51" s="85"/>
      <c r="C51" s="44"/>
      <c r="D51" s="157">
        <v>1</v>
      </c>
      <c r="E51" s="158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</row>
    <row r="52" spans="1:20" ht="12.75" customHeight="1">
      <c r="A52" s="84"/>
      <c r="B52" s="85"/>
      <c r="C52" s="44"/>
      <c r="D52" s="157"/>
      <c r="E52" s="158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spans="1:20" ht="12.75" customHeight="1">
      <c r="A53" s="31"/>
      <c r="B53" s="32"/>
      <c r="C53" s="44"/>
      <c r="D53" s="60"/>
      <c r="E53" s="6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</row>
    <row r="54" spans="1:20" ht="12.75" customHeight="1">
      <c r="A54" s="31"/>
      <c r="B54" s="32"/>
      <c r="C54" s="48"/>
      <c r="D54" s="60"/>
      <c r="E54" s="6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</row>
    <row r="55" spans="1:20" ht="12.75" customHeight="1">
      <c r="A55" s="31"/>
      <c r="B55" s="32"/>
      <c r="C55" s="48"/>
      <c r="D55" s="157">
        <v>0.1</v>
      </c>
      <c r="E55" s="158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</row>
    <row r="56" spans="1:20" ht="12.75" customHeight="1">
      <c r="A56" s="31"/>
      <c r="B56" s="32"/>
      <c r="C56" s="48"/>
      <c r="D56" s="157"/>
      <c r="E56" s="15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</row>
    <row r="57" spans="1:20" ht="12.75" customHeight="1">
      <c r="A57" s="31"/>
      <c r="B57" s="32"/>
      <c r="C57" s="48"/>
      <c r="D57" s="164">
        <v>0.05</v>
      </c>
      <c r="E57" s="165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</row>
    <row r="58" spans="1:20" ht="12.75" customHeight="1">
      <c r="A58" s="31"/>
      <c r="B58" s="32"/>
      <c r="C58" s="48"/>
      <c r="D58" s="60"/>
      <c r="E58" s="6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</row>
    <row r="59" spans="1:20" ht="12.75" customHeight="1">
      <c r="A59" s="31"/>
      <c r="B59" s="32"/>
      <c r="C59" s="48"/>
      <c r="D59" s="60"/>
      <c r="E59" s="6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</row>
    <row r="60" spans="1:20" ht="12.75" customHeight="1">
      <c r="A60" s="31"/>
      <c r="B60" s="32"/>
      <c r="C60" s="44"/>
      <c r="D60" s="157">
        <v>0.01</v>
      </c>
      <c r="E60" s="158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</row>
    <row r="61" spans="1:20" ht="12.75" customHeight="1">
      <c r="A61" s="31"/>
      <c r="B61" s="32"/>
      <c r="C61" s="44"/>
      <c r="D61" s="62"/>
      <c r="E61" s="63"/>
      <c r="F61" s="64">
        <v>2</v>
      </c>
      <c r="G61" s="64">
        <v>4</v>
      </c>
      <c r="H61" s="64">
        <v>6</v>
      </c>
      <c r="I61" s="64">
        <v>8</v>
      </c>
      <c r="J61" s="64">
        <v>10</v>
      </c>
      <c r="K61" s="64">
        <v>12</v>
      </c>
      <c r="L61" s="64">
        <v>14</v>
      </c>
      <c r="M61" s="64">
        <v>16</v>
      </c>
      <c r="N61" s="64">
        <v>18</v>
      </c>
      <c r="O61" s="64">
        <v>20</v>
      </c>
      <c r="P61" s="64">
        <v>22</v>
      </c>
      <c r="Q61" s="64">
        <v>24</v>
      </c>
      <c r="R61" s="64">
        <v>26</v>
      </c>
      <c r="S61" s="64">
        <v>28</v>
      </c>
      <c r="T61" s="163">
        <v>30</v>
      </c>
    </row>
    <row r="62" spans="1:20" ht="12.75" customHeight="1">
      <c r="A62" s="31"/>
      <c r="B62" s="32"/>
      <c r="C62" s="44"/>
      <c r="D62" s="137" t="s">
        <v>102</v>
      </c>
      <c r="E62" s="138"/>
      <c r="F62" s="139" t="s">
        <v>81</v>
      </c>
      <c r="G62" s="140"/>
      <c r="H62" s="140" t="s">
        <v>82</v>
      </c>
      <c r="I62" s="140"/>
      <c r="J62" s="140" t="s">
        <v>103</v>
      </c>
      <c r="K62" s="150"/>
      <c r="L62" s="151" t="s">
        <v>104</v>
      </c>
      <c r="M62" s="151"/>
      <c r="N62" s="152"/>
      <c r="O62" s="153">
        <v>40613</v>
      </c>
      <c r="P62" s="153"/>
      <c r="Q62" s="154">
        <v>0.05</v>
      </c>
      <c r="R62" s="155"/>
      <c r="S62" s="155"/>
      <c r="T62" s="156"/>
    </row>
    <row r="63" spans="1:20" ht="12.75" customHeight="1" thickBot="1">
      <c r="A63" s="33"/>
      <c r="B63" s="34"/>
      <c r="C63" s="45"/>
      <c r="D63" s="135" t="s">
        <v>101</v>
      </c>
      <c r="E63" s="136"/>
      <c r="F63" s="141">
        <f>INDEX(Ave_Calc!$A:$XFD,26,7)</f>
        <v>-0.0002873491097164654</v>
      </c>
      <c r="G63" s="142"/>
      <c r="H63" s="142">
        <f>INDEX(Ave_Calc!$A:$XFD,26,8)</f>
        <v>1.3136256345208641</v>
      </c>
      <c r="I63" s="142"/>
      <c r="J63" s="142">
        <f>INDEX(Ave_Calc!$A:$XFD,26,9)</f>
        <v>0.6918216623165366</v>
      </c>
      <c r="K63" s="143"/>
      <c r="L63" s="144" t="str">
        <f>TEXT(LN(2)/ABS(LN(10^F63)),"#,##0")&amp;"d"&amp;"("&amp;TEXT(LN(2)/ABS(LN(10^F63))/365.42,"0.00")&amp;"y)"</f>
        <v>1,048d(2.87y)</v>
      </c>
      <c r="M63" s="144"/>
      <c r="N63" s="144"/>
      <c r="O63" s="145">
        <f>10^H63</f>
        <v>20.588543983982976</v>
      </c>
      <c r="P63" s="145"/>
      <c r="Q63" s="146">
        <f>(LOG($Q$62)-$H63)/$F63</f>
        <v>9099.22996721581</v>
      </c>
      <c r="R63" s="147"/>
      <c r="S63" s="148">
        <f>(LOG($Q$62)-$H63)/$F63/365.26</f>
        <v>24.91165188418061</v>
      </c>
      <c r="T63" s="149"/>
    </row>
    <row r="64" spans="1:20" ht="12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ht="12.75" customHeight="1">
      <c r="A65" s="52" t="s">
        <v>106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</row>
    <row r="66" spans="1:20" ht="12.75" customHeight="1">
      <c r="A66" s="58" t="s">
        <v>107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55"/>
    </row>
    <row r="67" spans="1:20" ht="12.75" customHeight="1">
      <c r="A67" s="58" t="s">
        <v>108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55"/>
    </row>
    <row r="68" spans="1:20" ht="12.75" customHeight="1">
      <c r="A68" s="162"/>
      <c r="B68" s="42"/>
      <c r="C68" s="42" t="s">
        <v>110</v>
      </c>
      <c r="D68" s="42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5"/>
    </row>
    <row r="69" spans="1:20" ht="12.75" customHeight="1">
      <c r="A69" s="59"/>
      <c r="B69" s="56"/>
      <c r="C69" s="56" t="s">
        <v>111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/>
    </row>
    <row r="70" ht="12.75" customHeight="1"/>
    <row r="71" ht="12.75" customHeight="1"/>
  </sheetData>
  <mergeCells count="53">
    <mergeCell ref="D60:E60"/>
    <mergeCell ref="D43:E43"/>
    <mergeCell ref="D47:E48"/>
    <mergeCell ref="D51:E52"/>
    <mergeCell ref="D55:E56"/>
    <mergeCell ref="D57:E57"/>
    <mergeCell ref="S63:T63"/>
    <mergeCell ref="J62:K62"/>
    <mergeCell ref="L62:N62"/>
    <mergeCell ref="O62:P62"/>
    <mergeCell ref="Q62:T62"/>
    <mergeCell ref="J63:K63"/>
    <mergeCell ref="L63:N63"/>
    <mergeCell ref="O63:P63"/>
    <mergeCell ref="Q63:R63"/>
    <mergeCell ref="D63:E63"/>
    <mergeCell ref="D62:E62"/>
    <mergeCell ref="F62:G62"/>
    <mergeCell ref="H62:I62"/>
    <mergeCell ref="F63:G63"/>
    <mergeCell ref="H63:I63"/>
    <mergeCell ref="A51:B52"/>
    <mergeCell ref="A15:B15"/>
    <mergeCell ref="C15:J15"/>
    <mergeCell ref="K15:L15"/>
    <mergeCell ref="A13:B13"/>
    <mergeCell ref="C13:J13"/>
    <mergeCell ref="K13:L13"/>
    <mergeCell ref="A14:B14"/>
    <mergeCell ref="C14:J14"/>
    <mergeCell ref="K14:L14"/>
    <mergeCell ref="A11:B11"/>
    <mergeCell ref="C11:J11"/>
    <mergeCell ref="K11:L11"/>
    <mergeCell ref="A12:B12"/>
    <mergeCell ref="C12:J12"/>
    <mergeCell ref="K12:L12"/>
    <mergeCell ref="C9:J9"/>
    <mergeCell ref="K9:L9"/>
    <mergeCell ref="A10:B10"/>
    <mergeCell ref="C10:J10"/>
    <mergeCell ref="K10:L10"/>
    <mergeCell ref="A7:B7"/>
    <mergeCell ref="C7:H7"/>
    <mergeCell ref="K7:L7"/>
    <mergeCell ref="A8:B8"/>
    <mergeCell ref="C8:H8"/>
    <mergeCell ref="K8:L8"/>
    <mergeCell ref="A3:T4"/>
    <mergeCell ref="K5:L5"/>
    <mergeCell ref="A6:B6"/>
    <mergeCell ref="C6:H6"/>
    <mergeCell ref="K6:L6"/>
  </mergeCells>
  <printOptions/>
  <pageMargins left="0.7874015748031497" right="0" top="0.1968503937007874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8:L62"/>
  <sheetViews>
    <sheetView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L9" sqref="L9"/>
    </sheetView>
  </sheetViews>
  <sheetFormatPr defaultColWidth="9.00390625" defaultRowHeight="13.5"/>
  <cols>
    <col min="1" max="1" width="4.625" style="3" customWidth="1"/>
    <col min="2" max="3" width="13.625" style="3" customWidth="1"/>
    <col min="4" max="16384" width="9.00390625" style="3" customWidth="1"/>
  </cols>
  <sheetData>
    <row r="8" ht="14.25">
      <c r="B8" t="s">
        <v>11</v>
      </c>
    </row>
    <row r="9" spans="4:12" ht="14.25">
      <c r="D9" s="9">
        <v>40758</v>
      </c>
      <c r="E9" s="9">
        <v>40873</v>
      </c>
      <c r="F9" s="9">
        <v>40986</v>
      </c>
      <c r="G9" s="9">
        <v>41055</v>
      </c>
      <c r="I9" s="6">
        <f>D9</f>
        <v>40758</v>
      </c>
      <c r="J9" s="6">
        <f>E9</f>
        <v>40873</v>
      </c>
      <c r="K9" s="6">
        <f>F9</f>
        <v>40986</v>
      </c>
      <c r="L9" s="6">
        <f>G9</f>
        <v>41055</v>
      </c>
    </row>
    <row r="10" spans="1:7" ht="14.25">
      <c r="A10" s="8" t="s">
        <v>3</v>
      </c>
      <c r="B10" s="4" t="s">
        <v>0</v>
      </c>
      <c r="C10" s="4" t="s">
        <v>1</v>
      </c>
      <c r="D10" s="1" t="s">
        <v>2</v>
      </c>
      <c r="E10" s="1" t="s">
        <v>2</v>
      </c>
      <c r="F10" s="1" t="s">
        <v>2</v>
      </c>
      <c r="G10" s="1" t="s">
        <v>2</v>
      </c>
    </row>
    <row r="11" spans="1:7" ht="14.25">
      <c r="A11" s="3">
        <v>1</v>
      </c>
      <c r="B11" s="2">
        <v>1.558697048611111</v>
      </c>
      <c r="C11" s="2">
        <v>5.875121180555556</v>
      </c>
      <c r="D11" s="3">
        <v>13.7</v>
      </c>
      <c r="E11" s="3">
        <v>17.2</v>
      </c>
      <c r="F11" s="3">
        <v>13.2</v>
      </c>
      <c r="G11" s="3">
        <v>10.4</v>
      </c>
    </row>
    <row r="12" spans="1:7" ht="14.25">
      <c r="A12" s="3">
        <v>2</v>
      </c>
      <c r="B12" s="2">
        <v>1.558697048611111</v>
      </c>
      <c r="C12" s="2">
        <v>5.8751201678240745</v>
      </c>
      <c r="D12" s="3">
        <v>14.5</v>
      </c>
      <c r="E12" s="3">
        <v>17.8</v>
      </c>
      <c r="F12" s="3">
        <v>13.2</v>
      </c>
      <c r="G12" s="3">
        <v>10.6</v>
      </c>
    </row>
    <row r="13" spans="1:7" ht="14.25">
      <c r="A13" s="3">
        <v>3</v>
      </c>
      <c r="B13" s="2">
        <v>1.5586980613425925</v>
      </c>
      <c r="C13" s="2">
        <v>5.8751208912037045</v>
      </c>
      <c r="D13" s="3">
        <v>17.6</v>
      </c>
      <c r="E13" s="3">
        <v>17.7</v>
      </c>
      <c r="F13" s="3">
        <v>15.3</v>
      </c>
      <c r="G13" s="3">
        <v>12</v>
      </c>
    </row>
    <row r="14" spans="1:7" ht="14.25">
      <c r="A14" s="3">
        <v>4</v>
      </c>
      <c r="B14" s="2">
        <v>1.5586989293981481</v>
      </c>
      <c r="C14" s="2">
        <v>5.875120601851853</v>
      </c>
      <c r="D14" s="3">
        <v>18.5</v>
      </c>
      <c r="E14" s="3">
        <v>18.6</v>
      </c>
      <c r="F14" s="3">
        <v>15.4</v>
      </c>
      <c r="G14" s="3">
        <v>12.4</v>
      </c>
    </row>
    <row r="15" spans="1:7" ht="14.25">
      <c r="A15" s="3">
        <v>5</v>
      </c>
      <c r="B15" s="2">
        <v>1.5586997974537036</v>
      </c>
      <c r="C15" s="2">
        <v>5.875120312500001</v>
      </c>
      <c r="D15" s="3">
        <v>20.1</v>
      </c>
      <c r="E15" s="3">
        <v>18.6</v>
      </c>
      <c r="F15" s="3">
        <v>15.9</v>
      </c>
      <c r="G15" s="3">
        <v>12.5</v>
      </c>
    </row>
    <row r="16" spans="1:7" ht="14.25">
      <c r="A16" s="3">
        <v>6</v>
      </c>
      <c r="B16" s="2">
        <v>1.5586996527777777</v>
      </c>
      <c r="C16" s="2">
        <v>5.875119010416667</v>
      </c>
      <c r="D16" s="3">
        <v>20.5</v>
      </c>
      <c r="E16" s="3">
        <v>18.5</v>
      </c>
      <c r="F16" s="3">
        <v>16.1</v>
      </c>
      <c r="G16" s="3">
        <v>12.1</v>
      </c>
    </row>
    <row r="17" spans="1:7" ht="14.25">
      <c r="A17" s="3">
        <v>7</v>
      </c>
      <c r="B17" s="2">
        <v>1.5586993634259259</v>
      </c>
      <c r="C17" s="2">
        <v>5.875117708333334</v>
      </c>
      <c r="D17" s="3">
        <v>20.8</v>
      </c>
      <c r="E17" s="3">
        <v>18.7</v>
      </c>
      <c r="F17" s="3">
        <v>16.2</v>
      </c>
      <c r="G17" s="3">
        <v>11.9</v>
      </c>
    </row>
    <row r="18" spans="1:7" ht="14.25">
      <c r="A18" s="3">
        <v>8</v>
      </c>
      <c r="B18" s="2">
        <v>1.5586983506944443</v>
      </c>
      <c r="C18" s="2">
        <v>5.8751179976851855</v>
      </c>
      <c r="D18" s="3">
        <v>22.3</v>
      </c>
      <c r="E18" s="3">
        <v>18.7</v>
      </c>
      <c r="F18" s="3">
        <v>16.4</v>
      </c>
      <c r="G18" s="3">
        <v>11.9</v>
      </c>
    </row>
    <row r="19" spans="1:7" ht="14.25">
      <c r="A19" s="3">
        <v>9</v>
      </c>
      <c r="B19" s="2">
        <v>1.5586974826388889</v>
      </c>
      <c r="C19" s="2">
        <v>5.875118287037037</v>
      </c>
      <c r="D19" s="3">
        <v>23</v>
      </c>
      <c r="E19" s="3">
        <v>18.9</v>
      </c>
      <c r="F19" s="3">
        <v>16.6</v>
      </c>
      <c r="G19" s="3">
        <v>11.4</v>
      </c>
    </row>
    <row r="20" spans="1:7" ht="14.25">
      <c r="A20" s="3">
        <v>10</v>
      </c>
      <c r="B20" s="2">
        <v>1.558696759259259</v>
      </c>
      <c r="C20" s="2">
        <v>5.875118576388889</v>
      </c>
      <c r="D20" s="3">
        <v>15.2</v>
      </c>
      <c r="E20" s="3">
        <v>18.1</v>
      </c>
      <c r="F20" s="3">
        <v>15.2</v>
      </c>
      <c r="G20" s="3">
        <v>12.3</v>
      </c>
    </row>
    <row r="21" spans="1:7" ht="14.25">
      <c r="A21" s="3">
        <v>11</v>
      </c>
      <c r="B21" s="2">
        <v>1.5586963252314814</v>
      </c>
      <c r="C21" s="2">
        <v>5.875119155092594</v>
      </c>
      <c r="D21" s="3">
        <v>17.5</v>
      </c>
      <c r="E21" s="3">
        <v>18.4</v>
      </c>
      <c r="F21" s="3">
        <v>15.8</v>
      </c>
      <c r="G21" s="3">
        <v>20.4</v>
      </c>
    </row>
    <row r="22" spans="1:7" ht="14.25">
      <c r="A22" s="3">
        <v>12</v>
      </c>
      <c r="B22" s="2">
        <v>1.5586954571759257</v>
      </c>
      <c r="C22" s="2">
        <v>5.875119155092594</v>
      </c>
      <c r="D22" s="3">
        <v>18.1</v>
      </c>
      <c r="E22" s="3">
        <v>18.9</v>
      </c>
      <c r="F22" s="3">
        <v>16.4</v>
      </c>
      <c r="G22" s="3">
        <v>18.2</v>
      </c>
    </row>
    <row r="23" spans="1:7" ht="14.25">
      <c r="A23" s="3">
        <v>13</v>
      </c>
      <c r="B23" s="2">
        <v>1.5586957465277778</v>
      </c>
      <c r="C23" s="2">
        <v>5.875120312500001</v>
      </c>
      <c r="D23" s="3">
        <v>17.9</v>
      </c>
      <c r="E23" s="3">
        <v>18.6</v>
      </c>
      <c r="F23" s="3">
        <v>17</v>
      </c>
      <c r="G23" s="3">
        <v>18.4</v>
      </c>
    </row>
    <row r="24" spans="1:7" ht="14.25">
      <c r="A24" s="3">
        <v>14</v>
      </c>
      <c r="B24" s="2">
        <v>1.5586960358796296</v>
      </c>
      <c r="C24" s="2">
        <v>5.875121325231482</v>
      </c>
      <c r="D24" s="3">
        <v>17.5</v>
      </c>
      <c r="E24" s="3">
        <v>18.6</v>
      </c>
      <c r="F24" s="3">
        <v>16.6</v>
      </c>
      <c r="G24" s="3">
        <v>17.4</v>
      </c>
    </row>
    <row r="25" spans="1:5" ht="14.25">
      <c r="A25" s="3">
        <v>15</v>
      </c>
      <c r="B25" s="2">
        <v>1.558697800925926</v>
      </c>
      <c r="C25" s="2">
        <v>5.875121087962963</v>
      </c>
      <c r="E25" s="3">
        <v>37.4</v>
      </c>
    </row>
    <row r="26" spans="2:3" ht="14.25">
      <c r="B26" s="2"/>
      <c r="C26" s="2"/>
    </row>
    <row r="27" spans="2:3" ht="14.25">
      <c r="B27" s="2"/>
      <c r="C27" s="2"/>
    </row>
    <row r="28" spans="2:3" ht="14.25">
      <c r="B28" s="2"/>
      <c r="C28" s="2"/>
    </row>
    <row r="29" spans="2:3" ht="14.25">
      <c r="B29" s="2"/>
      <c r="C29" s="2"/>
    </row>
    <row r="30" spans="2:3" ht="14.25">
      <c r="B30" s="2"/>
      <c r="C30" s="2"/>
    </row>
    <row r="31" spans="2:3" ht="14.25">
      <c r="B31" s="2"/>
      <c r="C31" s="2"/>
    </row>
    <row r="32" spans="2:3" ht="14.25">
      <c r="B32" s="2"/>
      <c r="C32" s="2"/>
    </row>
    <row r="33" spans="2:3" ht="14.25">
      <c r="B33" s="2"/>
      <c r="C33" s="2"/>
    </row>
    <row r="34" spans="2:3" ht="14.25">
      <c r="B34" s="2"/>
      <c r="C34" s="2"/>
    </row>
    <row r="35" spans="2:3" ht="14.25">
      <c r="B35" s="2"/>
      <c r="C35" s="2"/>
    </row>
    <row r="36" spans="2:3" ht="14.25">
      <c r="B36" s="2"/>
      <c r="C36" s="2"/>
    </row>
    <row r="37" spans="2:3" ht="14.25">
      <c r="B37" s="2"/>
      <c r="C37" s="2"/>
    </row>
    <row r="38" spans="2:3" ht="14.25">
      <c r="B38" s="2"/>
      <c r="C38" s="2"/>
    </row>
    <row r="39" spans="2:3" ht="14.25">
      <c r="B39" s="2"/>
      <c r="C39" s="2"/>
    </row>
    <row r="40" spans="2:3" ht="14.25">
      <c r="B40" s="2"/>
      <c r="C40" s="2"/>
    </row>
    <row r="41" spans="2:3" ht="14.25">
      <c r="B41" s="2"/>
      <c r="C41" s="2"/>
    </row>
    <row r="42" spans="2:3" ht="14.25">
      <c r="B42" s="2"/>
      <c r="C42" s="2"/>
    </row>
    <row r="43" spans="2:3" ht="14.25">
      <c r="B43" s="2"/>
      <c r="C43" s="2"/>
    </row>
    <row r="44" spans="2:3" ht="14.25">
      <c r="B44" s="2"/>
      <c r="C44" s="2"/>
    </row>
    <row r="45" spans="2:3" ht="14.25">
      <c r="B45" s="2"/>
      <c r="C45" s="2"/>
    </row>
    <row r="46" spans="2:3" ht="14.25">
      <c r="B46" s="2"/>
      <c r="C46" s="2"/>
    </row>
    <row r="47" spans="2:3" ht="14.25">
      <c r="B47" s="2"/>
      <c r="C47" s="2"/>
    </row>
    <row r="48" spans="2:3" ht="14.25">
      <c r="B48" s="2"/>
      <c r="C48" s="2"/>
    </row>
    <row r="49" spans="2:3" ht="14.25">
      <c r="B49" s="2"/>
      <c r="C49" s="2"/>
    </row>
    <row r="50" spans="2:3" ht="14.25">
      <c r="B50" s="2"/>
      <c r="C50" s="2"/>
    </row>
    <row r="51" spans="2:3" ht="14.25">
      <c r="B51" s="2"/>
      <c r="C51" s="2"/>
    </row>
    <row r="52" spans="2:3" ht="14.25">
      <c r="B52" s="2"/>
      <c r="C52" s="2"/>
    </row>
    <row r="53" spans="2:3" ht="14.25">
      <c r="B53" s="2"/>
      <c r="C53" s="2"/>
    </row>
    <row r="54" spans="2:3" ht="14.25">
      <c r="B54" s="2"/>
      <c r="C54" s="2"/>
    </row>
    <row r="55" spans="2:3" ht="14.25">
      <c r="B55" s="2"/>
      <c r="C55" s="2"/>
    </row>
    <row r="56" spans="2:3" ht="14.25">
      <c r="B56" s="2"/>
      <c r="C56" s="2"/>
    </row>
    <row r="57" spans="2:3" ht="14.25">
      <c r="B57" s="2"/>
      <c r="C57" s="2"/>
    </row>
    <row r="58" spans="2:3" ht="14.25">
      <c r="B58" s="2"/>
      <c r="C58" s="2"/>
    </row>
    <row r="59" spans="2:3" ht="14.25">
      <c r="B59" s="2"/>
      <c r="C59" s="2"/>
    </row>
    <row r="60" spans="2:3" ht="14.25">
      <c r="B60" s="2"/>
      <c r="C60" s="2"/>
    </row>
    <row r="61" spans="2:3" ht="14.25">
      <c r="B61" s="2"/>
      <c r="C61" s="2"/>
    </row>
    <row r="62" spans="2:3" ht="14.25">
      <c r="B62" s="2"/>
      <c r="C62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24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4.625" style="0" customWidth="1"/>
    <col min="4" max="7" width="10.625" style="0" customWidth="1"/>
  </cols>
  <sheetData>
    <row r="9" spans="4:7" ht="13.5">
      <c r="D9" s="10">
        <f>INDEX('測定結果'!$A:$XFD,ROW(),COLUMN())</f>
        <v>40758</v>
      </c>
      <c r="E9" s="10">
        <f>INDEX('測定結果'!$A:$XFD,ROW(),COLUMN())</f>
        <v>40873</v>
      </c>
      <c r="F9" s="10">
        <f>INDEX('測定結果'!$A:$XFD,ROW(),COLUMN())</f>
        <v>40986</v>
      </c>
      <c r="G9" s="10">
        <f>INDEX('測定結果'!$A:$XFD,ROW(),COLUMN())</f>
        <v>41055</v>
      </c>
    </row>
    <row r="10" spans="1:7" ht="13.5">
      <c r="A10" t="str">
        <f>INDEX('測定結果'!$A:$XFD,ROW(),COLUMN())</f>
        <v>No.</v>
      </c>
      <c r="B10" t="str">
        <f>INDEX('測定結果'!$A:$XFD,ROW(),COLUMN())</f>
        <v>緯度</v>
      </c>
      <c r="C10" t="str">
        <f>INDEX('測定結果'!$A:$XFD,ROW(),COLUMN())</f>
        <v>経度</v>
      </c>
      <c r="D10" t="str">
        <f>INDEX('測定結果'!$A:$XFD,ROW(),COLUMN())</f>
        <v>測定値</v>
      </c>
      <c r="E10" t="str">
        <f>INDEX('測定結果'!$A:$XFD,ROW(),COLUMN())</f>
        <v>測定値</v>
      </c>
      <c r="F10" t="str">
        <f>INDEX('測定結果'!$A:$XFD,ROW(),COLUMN())</f>
        <v>測定値</v>
      </c>
      <c r="G10" t="str">
        <f>INDEX('測定結果'!$A:$XFD,ROW(),COLUMN())</f>
        <v>測定値</v>
      </c>
    </row>
    <row r="11" spans="1:7" ht="13.5">
      <c r="A11">
        <f>INDEX('測定結果'!$A:$XFD,ROW(),COLUMN())</f>
        <v>1</v>
      </c>
      <c r="B11">
        <f>INDEX('測定結果'!$A:$XFD,ROW(),COLUMN())</f>
        <v>1.558697048611111</v>
      </c>
      <c r="C11">
        <f>INDEX('測定結果'!$A:$XFD,ROW(),COLUMN())</f>
        <v>5.875121180555556</v>
      </c>
      <c r="D11">
        <f>LOG(INDEX('測定結果'!$A:$XFD,ROW(),COLUMN()))</f>
        <v>1.1367205671564067</v>
      </c>
      <c r="E11">
        <f>LOG(INDEX('測定結果'!$A:$XFD,ROW(),COLUMN()))</f>
        <v>1.235528446907549</v>
      </c>
      <c r="F11">
        <f>LOG(INDEX('測定結果'!$A:$XFD,ROW(),COLUMN()))</f>
        <v>1.1205739312058498</v>
      </c>
      <c r="G11">
        <f>LOG(INDEX('測定結果'!$A:$XFD,ROW(),COLUMN()))</f>
        <v>1.0170333392987803</v>
      </c>
    </row>
    <row r="12" spans="1:7" ht="13.5">
      <c r="A12">
        <f>INDEX('測定結果'!$A:$XFD,ROW(),COLUMN())</f>
        <v>2</v>
      </c>
      <c r="B12">
        <f>INDEX('測定結果'!$A:$XFD,ROW(),COLUMN())</f>
        <v>1.558697048611111</v>
      </c>
      <c r="C12">
        <f>INDEX('測定結果'!$A:$XFD,ROW(),COLUMN())</f>
        <v>5.8751201678240745</v>
      </c>
      <c r="D12">
        <f>LOG(INDEX('測定結果'!$A:$XFD,ROW(),COLUMN()))</f>
        <v>1.1613680022349748</v>
      </c>
      <c r="E12">
        <f>LOG(INDEX('測定結果'!$A:$XFD,ROW(),COLUMN()))</f>
        <v>1.250420002308894</v>
      </c>
      <c r="F12">
        <f>LOG(INDEX('測定結果'!$A:$XFD,ROW(),COLUMN()))</f>
        <v>1.1205739312058498</v>
      </c>
      <c r="G12">
        <f>LOG(INDEX('測定結果'!$A:$XFD,ROW(),COLUMN()))</f>
        <v>1.0253058652647702</v>
      </c>
    </row>
    <row r="13" spans="1:7" ht="13.5">
      <c r="A13">
        <f>INDEX('測定結果'!$A:$XFD,ROW(),COLUMN())</f>
        <v>3</v>
      </c>
      <c r="B13">
        <f>INDEX('測定結果'!$A:$XFD,ROW(),COLUMN())</f>
        <v>1.5586980613425925</v>
      </c>
      <c r="C13">
        <f>INDEX('測定結果'!$A:$XFD,ROW(),COLUMN())</f>
        <v>5.8751208912037045</v>
      </c>
      <c r="D13">
        <f>LOG(INDEX('測定結果'!$A:$XFD,ROW(),COLUMN()))</f>
        <v>1.24551266781415</v>
      </c>
      <c r="E13">
        <f>LOG(INDEX('測定結果'!$A:$XFD,ROW(),COLUMN()))</f>
        <v>1.2479732663618066</v>
      </c>
      <c r="F13">
        <f>LOG(INDEX('測定結果'!$A:$XFD,ROW(),COLUMN()))</f>
        <v>1.1846914308175989</v>
      </c>
      <c r="G13">
        <f>LOG(INDEX('測定結果'!$A:$XFD,ROW(),COLUMN()))</f>
        <v>1.0791812460476249</v>
      </c>
    </row>
    <row r="14" spans="1:7" ht="13.5">
      <c r="A14">
        <f>INDEX('測定結果'!$A:$XFD,ROW(),COLUMN())</f>
        <v>4</v>
      </c>
      <c r="B14">
        <f>INDEX('測定結果'!$A:$XFD,ROW(),COLUMN())</f>
        <v>1.5586989293981481</v>
      </c>
      <c r="C14">
        <f>INDEX('測定結果'!$A:$XFD,ROW(),COLUMN())</f>
        <v>5.875120601851853</v>
      </c>
      <c r="D14">
        <f>LOG(INDEX('測定結果'!$A:$XFD,ROW(),COLUMN()))</f>
        <v>1.2671717284030137</v>
      </c>
      <c r="E14">
        <f>LOG(INDEX('測定結果'!$A:$XFD,ROW(),COLUMN()))</f>
        <v>1.2695129442179163</v>
      </c>
      <c r="F14">
        <f>LOG(INDEX('測定結果'!$A:$XFD,ROW(),COLUMN()))</f>
        <v>1.187520720836463</v>
      </c>
      <c r="G14">
        <f>LOG(INDEX('測定結果'!$A:$XFD,ROW(),COLUMN()))</f>
        <v>1.0934216851622351</v>
      </c>
    </row>
    <row r="15" spans="1:7" ht="13.5">
      <c r="A15">
        <f>INDEX('測定結果'!$A:$XFD,ROW(),COLUMN())</f>
        <v>5</v>
      </c>
      <c r="B15">
        <f>INDEX('測定結果'!$A:$XFD,ROW(),COLUMN())</f>
        <v>1.5586997974537036</v>
      </c>
      <c r="C15">
        <f>INDEX('測定結果'!$A:$XFD,ROW(),COLUMN())</f>
        <v>5.875120312500001</v>
      </c>
      <c r="D15">
        <f>LOG(INDEX('測定結果'!$A:$XFD,ROW(),COLUMN()))</f>
        <v>1.3031960574204888</v>
      </c>
      <c r="E15">
        <f>LOG(INDEX('測定結果'!$A:$XFD,ROW(),COLUMN()))</f>
        <v>1.2695129442179163</v>
      </c>
      <c r="F15">
        <f>LOG(INDEX('測定結果'!$A:$XFD,ROW(),COLUMN()))</f>
        <v>1.2013971243204515</v>
      </c>
      <c r="G15">
        <f>LOG(INDEX('測定結果'!$A:$XFD,ROW(),COLUMN()))</f>
        <v>1.0969100130080565</v>
      </c>
    </row>
    <row r="16" spans="1:7" ht="13.5">
      <c r="A16">
        <f>INDEX('測定結果'!$A:$XFD,ROW(),COLUMN())</f>
        <v>6</v>
      </c>
      <c r="B16">
        <f>INDEX('測定結果'!$A:$XFD,ROW(),COLUMN())</f>
        <v>1.5586996527777777</v>
      </c>
      <c r="C16">
        <f>INDEX('測定結果'!$A:$XFD,ROW(),COLUMN())</f>
        <v>5.875119010416667</v>
      </c>
      <c r="D16">
        <f>LOG(INDEX('測定結果'!$A:$XFD,ROW(),COLUMN()))</f>
        <v>1.3117538610557542</v>
      </c>
      <c r="E16">
        <f>LOG(INDEX('測定結果'!$A:$XFD,ROW(),COLUMN()))</f>
        <v>1.2671717284030137</v>
      </c>
      <c r="F16">
        <f>LOG(INDEX('測定結果'!$A:$XFD,ROW(),COLUMN()))</f>
        <v>1.2068258760318498</v>
      </c>
      <c r="G16">
        <f>LOG(INDEX('測定結果'!$A:$XFD,ROW(),COLUMN()))</f>
        <v>1.08278537031645</v>
      </c>
    </row>
    <row r="17" spans="1:7" ht="13.5">
      <c r="A17">
        <f>INDEX('測定結果'!$A:$XFD,ROW(),COLUMN())</f>
        <v>7</v>
      </c>
      <c r="B17">
        <f>INDEX('測定結果'!$A:$XFD,ROW(),COLUMN())</f>
        <v>1.5586993634259259</v>
      </c>
      <c r="C17">
        <f>INDEX('測定結果'!$A:$XFD,ROW(),COLUMN())</f>
        <v>5.875117708333334</v>
      </c>
      <c r="D17">
        <f>LOG(INDEX('測定結果'!$A:$XFD,ROW(),COLUMN()))</f>
        <v>1.3180633349627615</v>
      </c>
      <c r="E17">
        <f>LOG(INDEX('測定結果'!$A:$XFD,ROW(),COLUMN()))</f>
        <v>1.271841606536499</v>
      </c>
      <c r="F17">
        <f>LOG(INDEX('測定結果'!$A:$XFD,ROW(),COLUMN()))</f>
        <v>1.209515014542631</v>
      </c>
      <c r="G17">
        <f>LOG(INDEX('測定結果'!$A:$XFD,ROW(),COLUMN()))</f>
        <v>1.0755469613925308</v>
      </c>
    </row>
    <row r="18" spans="1:7" ht="13.5">
      <c r="A18">
        <f>INDEX('測定結果'!$A:$XFD,ROW(),COLUMN())</f>
        <v>8</v>
      </c>
      <c r="B18">
        <f>INDEX('測定結果'!$A:$XFD,ROW(),COLUMN())</f>
        <v>1.5586983506944443</v>
      </c>
      <c r="C18">
        <f>INDEX('測定結果'!$A:$XFD,ROW(),COLUMN())</f>
        <v>5.8751179976851855</v>
      </c>
      <c r="D18">
        <f>LOG(INDEX('測定結果'!$A:$XFD,ROW(),COLUMN()))</f>
        <v>1.3483048630481607</v>
      </c>
      <c r="E18">
        <f>LOG(INDEX('測定結果'!$A:$XFD,ROW(),COLUMN()))</f>
        <v>1.271841606536499</v>
      </c>
      <c r="F18">
        <f>LOG(INDEX('測定結果'!$A:$XFD,ROW(),COLUMN()))</f>
        <v>1.2148438480476977</v>
      </c>
      <c r="G18">
        <f>LOG(INDEX('測定結果'!$A:$XFD,ROW(),COLUMN()))</f>
        <v>1.0755469613925308</v>
      </c>
    </row>
    <row r="19" spans="1:7" ht="13.5">
      <c r="A19">
        <f>INDEX('測定結果'!$A:$XFD,ROW(),COLUMN())</f>
        <v>9</v>
      </c>
      <c r="B19">
        <f>INDEX('測定結果'!$A:$XFD,ROW(),COLUMN())</f>
        <v>1.5586974826388889</v>
      </c>
      <c r="C19">
        <f>INDEX('測定結果'!$A:$XFD,ROW(),COLUMN())</f>
        <v>5.875118287037037</v>
      </c>
      <c r="D19">
        <f>LOG(INDEX('測定結果'!$A:$XFD,ROW(),COLUMN()))</f>
        <v>1.3617278360175928</v>
      </c>
      <c r="E19">
        <f>LOG(INDEX('測定結果'!$A:$XFD,ROW(),COLUMN()))</f>
        <v>1.276461804173244</v>
      </c>
      <c r="F19">
        <f>LOG(INDEX('測定結果'!$A:$XFD,ROW(),COLUMN()))</f>
        <v>1.2201080880400552</v>
      </c>
      <c r="G19">
        <f>LOG(INDEX('測定結果'!$A:$XFD,ROW(),COLUMN()))</f>
        <v>1.0569048513364727</v>
      </c>
    </row>
    <row r="20" spans="1:7" ht="13.5">
      <c r="A20">
        <f>INDEX('測定結果'!$A:$XFD,ROW(),COLUMN())</f>
        <v>10</v>
      </c>
      <c r="B20">
        <f>INDEX('測定結果'!$A:$XFD,ROW(),COLUMN())</f>
        <v>1.558696759259259</v>
      </c>
      <c r="C20">
        <f>INDEX('測定結果'!$A:$XFD,ROW(),COLUMN())</f>
        <v>5.875118576388889</v>
      </c>
      <c r="D20">
        <f>LOG(INDEX('測定結果'!$A:$XFD,ROW(),COLUMN()))</f>
        <v>1.1818435879447726</v>
      </c>
      <c r="E20">
        <f>LOG(INDEX('測定結果'!$A:$XFD,ROW(),COLUMN()))</f>
        <v>1.2576785748691846</v>
      </c>
      <c r="F20">
        <f>LOG(INDEX('測定結果'!$A:$XFD,ROW(),COLUMN()))</f>
        <v>1.1818435879447726</v>
      </c>
      <c r="G20">
        <f>LOG(INDEX('測定結果'!$A:$XFD,ROW(),COLUMN()))</f>
        <v>1.089905111439398</v>
      </c>
    </row>
    <row r="21" spans="1:7" ht="13.5">
      <c r="A21">
        <f>INDEX('測定結果'!$A:$XFD,ROW(),COLUMN())</f>
        <v>11</v>
      </c>
      <c r="B21">
        <f>INDEX('測定結果'!$A:$XFD,ROW(),COLUMN())</f>
        <v>1.5586963252314814</v>
      </c>
      <c r="C21">
        <f>INDEX('測定結果'!$A:$XFD,ROW(),COLUMN())</f>
        <v>5.875119155092594</v>
      </c>
      <c r="D21">
        <f>LOG(INDEX('測定結果'!$A:$XFD,ROW(),COLUMN()))</f>
        <v>1.2430380486862944</v>
      </c>
      <c r="E21">
        <f>LOG(INDEX('測定結果'!$A:$XFD,ROW(),COLUMN()))</f>
        <v>1.2648178230095364</v>
      </c>
      <c r="F21">
        <f>LOG(INDEX('測定結果'!$A:$XFD,ROW(),COLUMN()))</f>
        <v>1.1986570869544226</v>
      </c>
      <c r="G21">
        <f>LOG(INDEX('測定結果'!$A:$XFD,ROW(),COLUMN()))</f>
        <v>1.3096301674258988</v>
      </c>
    </row>
    <row r="22" spans="1:7" ht="13.5">
      <c r="A22">
        <f>INDEX('測定結果'!$A:$XFD,ROW(),COLUMN())</f>
        <v>12</v>
      </c>
      <c r="B22">
        <f>INDEX('測定結果'!$A:$XFD,ROW(),COLUMN())</f>
        <v>1.5586954571759257</v>
      </c>
      <c r="C22">
        <f>INDEX('測定結果'!$A:$XFD,ROW(),COLUMN())</f>
        <v>5.875119155092594</v>
      </c>
      <c r="D22">
        <f>LOG(INDEX('測定結果'!$A:$XFD,ROW(),COLUMN()))</f>
        <v>1.2576785748691846</v>
      </c>
      <c r="E22">
        <f>LOG(INDEX('測定結果'!$A:$XFD,ROW(),COLUMN()))</f>
        <v>1.276461804173244</v>
      </c>
      <c r="F22">
        <f>LOG(INDEX('測定結果'!$A:$XFD,ROW(),COLUMN()))</f>
        <v>1.2148438480476977</v>
      </c>
      <c r="G22">
        <f>LOG(INDEX('測定結果'!$A:$XFD,ROW(),COLUMN()))</f>
        <v>1.2600713879850747</v>
      </c>
    </row>
    <row r="23" spans="1:7" ht="13.5">
      <c r="A23">
        <f>INDEX('測定結果'!$A:$XFD,ROW(),COLUMN())</f>
        <v>13</v>
      </c>
      <c r="B23">
        <f>INDEX('測定結果'!$A:$XFD,ROW(),COLUMN())</f>
        <v>1.5586957465277778</v>
      </c>
      <c r="C23">
        <f>INDEX('測定結果'!$A:$XFD,ROW(),COLUMN())</f>
        <v>5.875120312500001</v>
      </c>
      <c r="D23">
        <f>LOG(INDEX('測定結果'!$A:$XFD,ROW(),COLUMN()))</f>
        <v>1.252853030979893</v>
      </c>
      <c r="E23">
        <f>LOG(INDEX('測定結果'!$A:$XFD,ROW(),COLUMN()))</f>
        <v>1.2695129442179163</v>
      </c>
      <c r="F23">
        <f>LOG(INDEX('測定結果'!$A:$XFD,ROW(),COLUMN()))</f>
        <v>1.2304489213782739</v>
      </c>
      <c r="G23">
        <f>LOG(INDEX('測定結果'!$A:$XFD,ROW(),COLUMN()))</f>
        <v>1.2648178230095364</v>
      </c>
    </row>
    <row r="24" spans="1:7" ht="13.5">
      <c r="A24">
        <f>INDEX('測定結果'!$A:$XFD,ROW(),COLUMN())</f>
        <v>14</v>
      </c>
      <c r="B24">
        <f>INDEX('測定結果'!$A:$XFD,ROW(),COLUMN())</f>
        <v>1.5586960358796296</v>
      </c>
      <c r="C24">
        <f>INDEX('測定結果'!$A:$XFD,ROW(),COLUMN())</f>
        <v>5.875121325231482</v>
      </c>
      <c r="D24">
        <f>LOG(INDEX('測定結果'!$A:$XFD,ROW(),COLUMN()))</f>
        <v>1.2430380486862944</v>
      </c>
      <c r="E24">
        <f>LOG(INDEX('測定結果'!$A:$XFD,ROW(),COLUMN()))</f>
        <v>1.2695129442179163</v>
      </c>
      <c r="F24">
        <f>LOG(INDEX('測定結果'!$A:$XFD,ROW(),COLUMN()))</f>
        <v>1.2201080880400552</v>
      </c>
      <c r="G24">
        <f>LOG(INDEX('測定結果'!$A:$XFD,ROW(),COLUMN()))</f>
        <v>1.2405492482825997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1" sqref="G11"/>
    </sheetView>
  </sheetViews>
  <sheetFormatPr defaultColWidth="9.00390625" defaultRowHeight="13.5"/>
  <cols>
    <col min="1" max="1" width="6.375" style="11" customWidth="1"/>
    <col min="2" max="2" width="4.125" style="11" customWidth="1"/>
    <col min="3" max="5" width="9.00390625" style="11" customWidth="1"/>
    <col min="6" max="6" width="18.00390625" style="11" customWidth="1"/>
    <col min="7" max="7" width="11.75390625" style="11" bestFit="1" customWidth="1"/>
    <col min="8" max="8" width="11.625" style="11" bestFit="1" customWidth="1"/>
    <col min="9" max="9" width="10.625" style="11" bestFit="1" customWidth="1"/>
    <col min="10" max="10" width="11.75390625" style="11" bestFit="1" customWidth="1"/>
    <col min="11" max="16384" width="9.00390625" style="11" customWidth="1"/>
  </cols>
  <sheetData>
    <row r="1" spans="7:10" ht="13.5">
      <c r="G1" s="11">
        <v>4</v>
      </c>
      <c r="H1" s="11">
        <v>5</v>
      </c>
      <c r="I1" s="11">
        <v>6</v>
      </c>
      <c r="J1" s="11">
        <v>7</v>
      </c>
    </row>
    <row r="2" spans="5:10" ht="13.5">
      <c r="E2" s="11" t="s">
        <v>32</v>
      </c>
      <c r="G2" s="11" t="str">
        <f>IF(INT((G1-1)/26)=0,"",CHAR(INT((G1-1)/26)+64))&amp;CHAR(IF(MOD(G1,26)=0,26,MOD(G1,26))+64)</f>
        <v>D</v>
      </c>
      <c r="H2" s="11" t="str">
        <f>IF(INT((H1-1)/26)=0,"",CHAR(INT((H1-1)/26)+64))&amp;CHAR(IF(MOD(H1,26)=0,26,MOD(H1,26))+64)</f>
        <v>E</v>
      </c>
      <c r="I2" s="11" t="str">
        <f>IF(INT((I1-1)/26)=0,"",CHAR(INT((I1-1)/26)+64))&amp;CHAR(IF(MOD(I1,26)=0,26,MOD(I1,26))+64)</f>
        <v>F</v>
      </c>
      <c r="J2" s="11" t="str">
        <f>IF(INT((J1-1)/26)=0,"",CHAR(INT((J1-1)/26)+64))&amp;CHAR(IF(MOD(J1,26)=0,26,MOD(J1,26))+64)</f>
        <v>G</v>
      </c>
    </row>
    <row r="3" spans="7:10" ht="13.5">
      <c r="G3" s="11">
        <v>4</v>
      </c>
      <c r="H3" s="11">
        <v>5</v>
      </c>
      <c r="I3" s="11">
        <v>6</v>
      </c>
      <c r="J3" s="11">
        <v>7</v>
      </c>
    </row>
    <row r="4" spans="5:10" ht="13.5">
      <c r="E4" s="11" t="s">
        <v>33</v>
      </c>
      <c r="G4" s="11" t="str">
        <f>IF(INT((G3-1)/26)=0,"",CHAR(INT((G3-1)/26)+64))&amp;CHAR(IF(MOD(G3,26)=0,26,MOD(G3,26))+64)</f>
        <v>D</v>
      </c>
      <c r="H4" s="11" t="str">
        <f>IF(INT((H3-1)/26)=0,"",CHAR(INT((H3-1)/26)+64))&amp;CHAR(IF(MOD(H3,26)=0,26,MOD(H3,26))+64)</f>
        <v>E</v>
      </c>
      <c r="I4" s="11" t="str">
        <f>IF(INT((I3-1)/26)=0,"",CHAR(INT((I3-1)/26)+64))&amp;CHAR(IF(MOD(I3,26)=0,26,MOD(I3,26))+64)</f>
        <v>F</v>
      </c>
      <c r="J4" s="11" t="str">
        <f>IF(INT((J3-1)/26)=0,"",CHAR(INT((J3-1)/26)+64))&amp;CHAR(IF(MOD(J3,26)=0,26,MOD(J3,26))+64)</f>
        <v>G</v>
      </c>
    </row>
    <row r="6" spans="6:10" ht="13.5">
      <c r="F6" s="11" t="s">
        <v>34</v>
      </c>
      <c r="G6" s="11">
        <v>0</v>
      </c>
      <c r="H6" s="11">
        <f>DATEDIF(G9,H9,"D")</f>
        <v>115</v>
      </c>
      <c r="I6" s="11">
        <f>DATEDIF(H9,I9,"D")</f>
        <v>113</v>
      </c>
      <c r="J6" s="11">
        <f>DATEDIF(I9,J9,"D")</f>
        <v>69</v>
      </c>
    </row>
    <row r="7" spans="6:10" ht="13.5">
      <c r="F7" s="11" t="s">
        <v>35</v>
      </c>
      <c r="G7" s="11">
        <f>SUM(F6)+SUM(G6)</f>
        <v>0</v>
      </c>
      <c r="H7" s="11">
        <f>SUM(M7)+SUM(H6)</f>
        <v>115</v>
      </c>
      <c r="I7" s="11">
        <f>SUM(N7)+SUM(I6)</f>
        <v>113</v>
      </c>
      <c r="J7" s="11">
        <f>SUM(O7)+SUM(J6)</f>
        <v>69</v>
      </c>
    </row>
    <row r="8" spans="6:10" ht="13.5">
      <c r="F8" s="11" t="s">
        <v>36</v>
      </c>
      <c r="G8" s="11">
        <f>DATEDIF(DATE(2011,3,11),G9,"d")</f>
        <v>145</v>
      </c>
      <c r="H8" s="11">
        <f>DATEDIF(DATE(2011,3,11),H9,"d")</f>
        <v>260</v>
      </c>
      <c r="I8" s="11">
        <f>DATEDIF(DATE(2011,3,11),I9,"d")</f>
        <v>373</v>
      </c>
      <c r="J8" s="11">
        <f>DATEDIF(DATE(2011,3,11),J9,"d")</f>
        <v>442</v>
      </c>
    </row>
    <row r="9" spans="6:10" ht="13.5">
      <c r="F9" s="11" t="s">
        <v>37</v>
      </c>
      <c r="G9" s="10">
        <f>INDEX('測定結果'!$A:$XFD,9,Ave_Calc!G1)</f>
        <v>40758</v>
      </c>
      <c r="H9" s="10">
        <f>INDEX('測定結果'!$A:$XFD,9,Ave_Calc!H1)</f>
        <v>40873</v>
      </c>
      <c r="I9" s="10">
        <f>INDEX('測定結果'!$A:$XFD,9,Ave_Calc!I1)</f>
        <v>40986</v>
      </c>
      <c r="J9" s="10">
        <f>INDEX('測定結果'!$A:$XFD,9,Ave_Calc!J1)</f>
        <v>41055</v>
      </c>
    </row>
    <row r="10" spans="1:10" ht="13.5">
      <c r="A10" s="11" t="s">
        <v>38</v>
      </c>
      <c r="B10" s="11" t="s">
        <v>59</v>
      </c>
      <c r="C10" s="11" t="s">
        <v>39</v>
      </c>
      <c r="D10" s="11" t="s">
        <v>40</v>
      </c>
      <c r="E10" s="11" t="s">
        <v>41</v>
      </c>
      <c r="F10" s="11" t="s">
        <v>60</v>
      </c>
      <c r="G10" s="11" t="s">
        <v>61</v>
      </c>
      <c r="H10" s="11" t="s">
        <v>61</v>
      </c>
      <c r="I10" s="11" t="s">
        <v>61</v>
      </c>
      <c r="J10" s="11" t="s">
        <v>61</v>
      </c>
    </row>
    <row r="11" spans="1:10" ht="13.5">
      <c r="A11" s="11">
        <v>11</v>
      </c>
      <c r="C11" s="11">
        <v>11</v>
      </c>
      <c r="D11" s="11">
        <v>24</v>
      </c>
      <c r="E11" s="11" t="s">
        <v>32</v>
      </c>
      <c r="G11" s="11" t="str">
        <f>$E11&amp;"!"&amp;G$2&amp;$A11&amp;":"&amp;G$2&amp;$D11</f>
        <v>測定結果!D11:D24</v>
      </c>
      <c r="H11" s="11" t="str">
        <f>$E11&amp;"!"&amp;H$2&amp;$A11&amp;":"&amp;H$2&amp;$D11</f>
        <v>測定結果!E11:E24</v>
      </c>
      <c r="I11" s="11" t="str">
        <f>$E11&amp;"!"&amp;I$2&amp;$A11&amp;":"&amp;I$2&amp;$D11</f>
        <v>測定結果!F11:F24</v>
      </c>
      <c r="J11" s="11" t="str">
        <f>$E11&amp;"!"&amp;J$2&amp;$A11&amp;":"&amp;J$2&amp;$D11</f>
        <v>測定結果!G11:G24</v>
      </c>
    </row>
    <row r="12" spans="5:10" ht="13.5">
      <c r="E12" s="11" t="s">
        <v>33</v>
      </c>
      <c r="G12" s="11" t="str">
        <f>$E12&amp;"!"&amp;G$4&amp;$A11&amp;":"&amp;G$4&amp;$D11</f>
        <v>LOG_Calc!D11:D24</v>
      </c>
      <c r="H12" s="11" t="str">
        <f>$E12&amp;"!"&amp;H$4&amp;$A11&amp;":"&amp;H$4&amp;$D11</f>
        <v>LOG_Calc!E11:E24</v>
      </c>
      <c r="I12" s="11" t="str">
        <f>$E12&amp;"!"&amp;I$4&amp;$A11&amp;":"&amp;I$4&amp;$D11</f>
        <v>LOG_Calc!F11:F24</v>
      </c>
      <c r="J12" s="11" t="str">
        <f>$E12&amp;"!"&amp;J$4&amp;$A11&amp;":"&amp;J$4&amp;$D11</f>
        <v>LOG_Calc!G11:G24</v>
      </c>
    </row>
    <row r="13" spans="6:10" ht="13.5">
      <c r="F13" s="11" t="s">
        <v>42</v>
      </c>
      <c r="G13" s="11">
        <f ca="1">MAX(INDIRECT(G11))</f>
        <v>23</v>
      </c>
      <c r="H13" s="11">
        <f ca="1">MAX(INDIRECT(H11))</f>
        <v>18.9</v>
      </c>
      <c r="I13" s="11">
        <f ca="1">MAX(INDIRECT(I11))</f>
        <v>17</v>
      </c>
      <c r="J13" s="11">
        <f ca="1">MAX(INDIRECT(J11))</f>
        <v>20.4</v>
      </c>
    </row>
    <row r="14" spans="6:10" ht="13.5">
      <c r="F14" s="11" t="s">
        <v>43</v>
      </c>
      <c r="G14" s="11">
        <f ca="1">MIN(INDIRECT(G11))</f>
        <v>13.7</v>
      </c>
      <c r="H14" s="11">
        <f ca="1">MIN(INDIRECT(H11))</f>
        <v>17.2</v>
      </c>
      <c r="I14" s="11">
        <f ca="1">MIN(INDIRECT(I11))</f>
        <v>13.2</v>
      </c>
      <c r="J14" s="11">
        <f ca="1">MIN(INDIRECT(J11))</f>
        <v>10.4</v>
      </c>
    </row>
    <row r="15" spans="6:10" ht="13.5">
      <c r="F15" s="11" t="s">
        <v>44</v>
      </c>
      <c r="G15" s="11">
        <f ca="1">AVERAGE(INDIRECT(G11))</f>
        <v>18.37142857142857</v>
      </c>
      <c r="H15" s="11">
        <f ca="1">AVERAGE(INDIRECT(H11))</f>
        <v>18.37857142857143</v>
      </c>
      <c r="I15" s="11">
        <f ca="1">AVERAGE(INDIRECT(I11))</f>
        <v>15.664285714285713</v>
      </c>
      <c r="J15" s="11">
        <f ca="1">AVERAGE(INDIRECT(J11))</f>
        <v>13.707142857142857</v>
      </c>
    </row>
    <row r="16" spans="6:10" ht="13.5">
      <c r="F16" s="11" t="s">
        <v>45</v>
      </c>
      <c r="G16" s="11">
        <f ca="1">IF(G$10="有",#N/A,AVERAGE(INDIRECT(G11)))</f>
        <v>18.37142857142857</v>
      </c>
      <c r="H16" s="11">
        <f ca="1">IF(H$10="有",#N/A,AVERAGE(INDIRECT(H11)))</f>
        <v>18.37857142857143</v>
      </c>
      <c r="I16" s="11">
        <f ca="1">IF(I$10="有",#N/A,AVERAGE(INDIRECT(I11)))</f>
        <v>15.664285714285713</v>
      </c>
      <c r="J16" s="11">
        <f ca="1">IF(J$10="有",#N/A,AVERAGE(INDIRECT(J11)))</f>
        <v>13.707142857142857</v>
      </c>
    </row>
    <row r="17" spans="6:10" ht="13.5">
      <c r="F17" s="11" t="s">
        <v>46</v>
      </c>
      <c r="G17" s="11">
        <f ca="1">STDEV(INDIRECT(G11))</f>
        <v>2.7675116764199776</v>
      </c>
      <c r="H17" s="11">
        <f ca="1">STDEV(INDIRECT(H11))</f>
        <v>0.49796288312180315</v>
      </c>
      <c r="I17" s="11">
        <f ca="1">STDEV(INDIRECT(I11))</f>
        <v>1.167908810229225</v>
      </c>
      <c r="J17" s="11">
        <f ca="1">STDEV(INDIRECT(J11))</f>
        <v>3.3250712625594696</v>
      </c>
    </row>
    <row r="18" spans="6:10" ht="13.5">
      <c r="F18" s="11" t="s">
        <v>47</v>
      </c>
      <c r="G18" s="11">
        <f ca="1">MAX(INDIRECT(G12))</f>
        <v>1.3617278360175928</v>
      </c>
      <c r="H18" s="11">
        <f ca="1">MAX(INDIRECT(H12))</f>
        <v>1.276461804173244</v>
      </c>
      <c r="I18" s="11">
        <f ca="1">MAX(INDIRECT(I12))</f>
        <v>1.2304489213782739</v>
      </c>
      <c r="J18" s="11">
        <f ca="1">MAX(INDIRECT(J12))</f>
        <v>1.3096301674258988</v>
      </c>
    </row>
    <row r="19" spans="6:10" ht="13.5">
      <c r="F19" s="11" t="s">
        <v>48</v>
      </c>
      <c r="G19" s="11">
        <f ca="1">MIN(INDIRECT(G12))</f>
        <v>1.1367205671564067</v>
      </c>
      <c r="H19" s="11">
        <f ca="1">MIN(INDIRECT(H12))</f>
        <v>1.235528446907549</v>
      </c>
      <c r="I19" s="11">
        <f ca="1">MIN(INDIRECT(I12))</f>
        <v>1.1205739312058498</v>
      </c>
      <c r="J19" s="11">
        <f ca="1">MIN(INDIRECT(J12))</f>
        <v>1.0170333392987803</v>
      </c>
    </row>
    <row r="20" spans="6:10" ht="13.5">
      <c r="F20" s="11" t="s">
        <v>49</v>
      </c>
      <c r="G20" s="11">
        <f ca="1">AVERAGE(INDIRECT(G12))</f>
        <v>1.2594478720914102</v>
      </c>
      <c r="H20" s="11">
        <f ca="1">AVERAGE(INDIRECT(H12))</f>
        <v>1.2641606028679384</v>
      </c>
      <c r="I20" s="11">
        <f ca="1">AVERAGE(INDIRECT(I12))</f>
        <v>1.1937108212438337</v>
      </c>
      <c r="J20" s="11">
        <f ca="1">AVERAGE(INDIRECT(J12))</f>
        <v>1.126257859382997</v>
      </c>
    </row>
    <row r="21" spans="6:10" ht="13.5">
      <c r="F21" s="11" t="s">
        <v>50</v>
      </c>
      <c r="G21" s="11">
        <f ca="1">IF(G$10="有","",AVERAGE(INDIRECT(G12)))</f>
        <v>1.2594478720914102</v>
      </c>
      <c r="H21" s="11">
        <f ca="1">IF(H$10="有","",AVERAGE(INDIRECT(H12)))</f>
        <v>1.2641606028679384</v>
      </c>
      <c r="I21" s="11">
        <f ca="1">IF(I$10="有","",AVERAGE(INDIRECT(I12)))</f>
        <v>1.1937108212438337</v>
      </c>
      <c r="J21" s="11">
        <f ca="1">IF(J$10="有","",AVERAGE(INDIRECT(J12)))</f>
        <v>1.126257859382997</v>
      </c>
    </row>
    <row r="22" spans="6:10" ht="13.5">
      <c r="F22" s="11" t="s">
        <v>51</v>
      </c>
      <c r="G22" s="11">
        <f ca="1">STDEV(INDIRECT(G12))</f>
        <v>0.06678637616820364</v>
      </c>
      <c r="H22" s="11">
        <f ca="1">STDEV(INDIRECT(H12))</f>
        <v>0.011953032436718178</v>
      </c>
      <c r="I22" s="11">
        <f ca="1">STDEV(INDIRECT(I12))</f>
        <v>0.03408175505934137</v>
      </c>
      <c r="J22" s="11">
        <f ca="1">STDEV(INDIRECT(J12))</f>
        <v>0.09736303097409052</v>
      </c>
    </row>
    <row r="23" spans="6:10" ht="13.5">
      <c r="F23" s="11" t="s">
        <v>52</v>
      </c>
      <c r="G23" s="11">
        <f>10^G20</f>
        <v>18.17388903730243</v>
      </c>
      <c r="H23" s="11">
        <f>10^H20</f>
        <v>18.372176240695335</v>
      </c>
      <c r="I23" s="11">
        <f>10^I20</f>
        <v>15.621071536421763</v>
      </c>
      <c r="J23" s="11">
        <f>10^J20</f>
        <v>13.373893466495666</v>
      </c>
    </row>
    <row r="24" spans="6:10" ht="13.5">
      <c r="F24" s="11" t="s">
        <v>53</v>
      </c>
      <c r="G24" s="11">
        <f>10^G22</f>
        <v>1.1662358196531384</v>
      </c>
      <c r="H24" s="11">
        <f>10^H22</f>
        <v>1.0279051274535915</v>
      </c>
      <c r="I24" s="11">
        <f>10^I22</f>
        <v>1.0816375482185177</v>
      </c>
      <c r="J24" s="11">
        <f>10^J22</f>
        <v>1.251304570808024</v>
      </c>
    </row>
    <row r="25" spans="6:10" ht="13.5">
      <c r="F25" s="11" t="s">
        <v>54</v>
      </c>
      <c r="G25" s="11">
        <f>IF(ISERROR(G21),"",G23)</f>
        <v>18.17388903730243</v>
      </c>
      <c r="H25" s="11">
        <f>IF(ISERROR(H21),"",H23)</f>
        <v>18.372176240695335</v>
      </c>
      <c r="I25" s="11">
        <f>IF(ISERROR(I21),"",I23)</f>
        <v>15.621071536421763</v>
      </c>
      <c r="J25" s="11">
        <f>IF(ISERROR(J21),"",J23)</f>
        <v>13.373893466495666</v>
      </c>
    </row>
    <row r="26" spans="3:9" ht="13.5">
      <c r="C26" s="11" t="s">
        <v>55</v>
      </c>
      <c r="D26" s="11" t="s">
        <v>56</v>
      </c>
      <c r="E26" s="11" t="s">
        <v>57</v>
      </c>
      <c r="F26" s="11" t="s">
        <v>58</v>
      </c>
      <c r="G26" s="11">
        <f>SLOPE($G21:$I21,$G$8:$I$8)</f>
        <v>-0.0002873491097164654</v>
      </c>
      <c r="H26" s="11">
        <f>INTERCEPT($G21:$I21,$G$8:$I$8)</f>
        <v>1.3136256345208641</v>
      </c>
      <c r="I26" s="11">
        <f>RSQ($G21:$I21,$G$8:$I$8)</f>
        <v>0.6918216623165366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9.00390625" defaultRowHeight="13.5"/>
  <cols>
    <col min="1" max="2" width="4.625" style="5" customWidth="1"/>
    <col min="3" max="16384" width="9.00390625" style="5" customWidth="1"/>
  </cols>
  <sheetData>
    <row r="1" spans="3:8" ht="12.75">
      <c r="C1" s="12" t="s">
        <v>62</v>
      </c>
      <c r="D1" s="5">
        <v>7</v>
      </c>
      <c r="F1" s="5">
        <v>7</v>
      </c>
      <c r="G1" s="5">
        <v>4</v>
      </c>
      <c r="H1" s="5">
        <v>7</v>
      </c>
    </row>
    <row r="2" spans="3:8" ht="12.75">
      <c r="C2" s="12" t="s">
        <v>63</v>
      </c>
      <c r="F2" s="5">
        <v>10</v>
      </c>
      <c r="G2" s="5">
        <v>5</v>
      </c>
      <c r="H2" s="5">
        <f>F2</f>
        <v>10</v>
      </c>
    </row>
    <row r="3" spans="6:8" ht="12.75">
      <c r="F3" s="5">
        <v>10</v>
      </c>
      <c r="G3" s="5">
        <v>6</v>
      </c>
      <c r="H3" s="5">
        <f>H2+16</f>
        <v>26</v>
      </c>
    </row>
    <row r="4" spans="4:8" ht="13.5">
      <c r="D4" s="13" t="s">
        <v>64</v>
      </c>
      <c r="E4" s="13"/>
      <c r="F4" s="13"/>
      <c r="G4" s="5">
        <v>7</v>
      </c>
      <c r="H4" s="5">
        <f>INDEX(Ave_Calc!$A:$XFD,H$3,H$1)</f>
        <v>-0.0002873491097164654</v>
      </c>
    </row>
    <row r="5" spans="4:8" ht="13.5">
      <c r="D5" s="13" t="s">
        <v>65</v>
      </c>
      <c r="E5" s="13"/>
      <c r="F5" s="13"/>
      <c r="H5" s="5">
        <f>INDEX(Ave_Calc!$A:$XFD,H$3,H$1+1)</f>
        <v>1.3136256345208641</v>
      </c>
    </row>
    <row r="6" spans="4:8" ht="14.25">
      <c r="D6" s="14" t="s">
        <v>66</v>
      </c>
      <c r="E6" s="14"/>
      <c r="F6" s="14"/>
      <c r="H6" s="5">
        <f>INDEX(Ave_Calc!$A:$XFD,H$3,H$1+2)</f>
        <v>0.6918216623165366</v>
      </c>
    </row>
    <row r="7" spans="6:15" ht="12.75">
      <c r="F7" s="5" t="str">
        <f>F8&amp;"_"&amp;F9</f>
        <v>周辺_1m</v>
      </c>
      <c r="G7" s="5" t="str">
        <f>G8&amp;"_"&amp;G9</f>
        <v>周辺_1m</v>
      </c>
      <c r="H7" s="5" t="str">
        <f>H8&amp;"_"&amp;H9&amp;"近似直線"</f>
        <v>周辺_1m近似直線</v>
      </c>
      <c r="L7" s="5" t="str">
        <f>L9&amp;"事故前BG"</f>
        <v>0.05事故前BG</v>
      </c>
      <c r="M7" s="5" t="s">
        <v>105</v>
      </c>
      <c r="N7" s="5" t="s">
        <v>100</v>
      </c>
      <c r="O7" s="5" t="s">
        <v>109</v>
      </c>
    </row>
    <row r="8" spans="6:15" ht="12.75">
      <c r="F8" s="7" t="s">
        <v>74</v>
      </c>
      <c r="G8" s="7" t="s">
        <v>74</v>
      </c>
      <c r="H8" s="7" t="s">
        <v>74</v>
      </c>
      <c r="N8" s="47">
        <v>11019</v>
      </c>
      <c r="O8" s="161">
        <v>8.0207</v>
      </c>
    </row>
    <row r="9" spans="6:15" ht="12.75">
      <c r="F9" s="5" t="s">
        <v>73</v>
      </c>
      <c r="G9" s="5" t="s">
        <v>73</v>
      </c>
      <c r="H9" s="5" t="s">
        <v>73</v>
      </c>
      <c r="I9" s="7" t="s">
        <v>67</v>
      </c>
      <c r="J9" s="7" t="s">
        <v>68</v>
      </c>
      <c r="K9" s="7" t="s">
        <v>69</v>
      </c>
      <c r="L9" s="16">
        <v>0.05</v>
      </c>
      <c r="N9" s="5">
        <v>10</v>
      </c>
      <c r="O9" s="5">
        <v>11930</v>
      </c>
    </row>
    <row r="10" spans="3:15" ht="12.75">
      <c r="C10" s="7" t="s">
        <v>70</v>
      </c>
      <c r="D10" s="7" t="s">
        <v>71</v>
      </c>
      <c r="E10" s="7" t="s">
        <v>99</v>
      </c>
      <c r="F10" s="5" t="s">
        <v>72</v>
      </c>
      <c r="G10" s="5" t="s">
        <v>98</v>
      </c>
      <c r="N10" s="5">
        <f>LOG(N9)</f>
        <v>1</v>
      </c>
      <c r="O10" s="5">
        <f>LOG(O9)</f>
        <v>4.076640443670342</v>
      </c>
    </row>
    <row r="11" spans="1:8" ht="12.75">
      <c r="A11" s="5">
        <v>1</v>
      </c>
      <c r="B11" s="5">
        <v>11</v>
      </c>
      <c r="C11" s="5">
        <v>9</v>
      </c>
      <c r="D11" s="15">
        <f>INDEX(Ave_Calc!$A:$XFD,$C11,D$1+($A11-1))</f>
        <v>40758</v>
      </c>
      <c r="E11" s="46">
        <f>DATEDIF(DATE(2011,3,11),D11,"d")</f>
        <v>145</v>
      </c>
      <c r="F11" s="16">
        <f>IF(INDEX(Ave_Calc!$A:$XFD,F$2+F$3,F$1+($A11-1))="",#N/A,INDEX(Ave_Calc!$A:$XFD,F$2+F$3,F$1+($A11-1)))</f>
        <v>1.2594478720914102</v>
      </c>
      <c r="G11" s="16">
        <f>IF(INDEX(LOG_Calc!$A:$XFD,$B11,G$1)="",#N/A,INDEX(LOG_Calc!$A:$XFD,$B11,G$1))</f>
        <v>1.1367205671564067</v>
      </c>
      <c r="H11" s="16"/>
    </row>
    <row r="12" spans="2:8" ht="12.75">
      <c r="B12" s="5">
        <f>B11+1</f>
        <v>12</v>
      </c>
      <c r="D12" s="15">
        <f>D11</f>
        <v>40758</v>
      </c>
      <c r="E12" s="46">
        <f aca="true" t="shared" si="0" ref="E12:E69">DATEDIF(DATE(2011,3,11),D12,"d")</f>
        <v>145</v>
      </c>
      <c r="F12" s="16"/>
      <c r="G12" s="16">
        <f>IF(INDEX(LOG_Calc!$A:$XFD,$B12,G$1)="",#N/A,INDEX(LOG_Calc!$A:$XFD,$B12,G$1))</f>
        <v>1.1613680022349748</v>
      </c>
      <c r="H12" s="16"/>
    </row>
    <row r="13" spans="2:8" ht="12.75">
      <c r="B13" s="5">
        <f aca="true" t="shared" si="1" ref="B13:B24">B12+1</f>
        <v>13</v>
      </c>
      <c r="D13" s="15">
        <f aca="true" t="shared" si="2" ref="D13:D24">D12</f>
        <v>40758</v>
      </c>
      <c r="E13" s="46">
        <f t="shared" si="0"/>
        <v>145</v>
      </c>
      <c r="F13" s="16"/>
      <c r="G13" s="16">
        <f>IF(INDEX(LOG_Calc!$A:$XFD,$B13,G$1)="",#N/A,INDEX(LOG_Calc!$A:$XFD,$B13,G$1))</f>
        <v>1.24551266781415</v>
      </c>
      <c r="H13" s="16"/>
    </row>
    <row r="14" spans="2:8" ht="12.75">
      <c r="B14" s="5">
        <f t="shared" si="1"/>
        <v>14</v>
      </c>
      <c r="D14" s="15">
        <f t="shared" si="2"/>
        <v>40758</v>
      </c>
      <c r="E14" s="46">
        <f t="shared" si="0"/>
        <v>145</v>
      </c>
      <c r="F14" s="16"/>
      <c r="G14" s="16">
        <f>IF(INDEX(LOG_Calc!$A:$XFD,$B14,G$1)="",#N/A,INDEX(LOG_Calc!$A:$XFD,$B14,G$1))</f>
        <v>1.2671717284030137</v>
      </c>
      <c r="H14" s="16"/>
    </row>
    <row r="15" spans="2:8" ht="12.75">
      <c r="B15" s="5">
        <f t="shared" si="1"/>
        <v>15</v>
      </c>
      <c r="D15" s="15">
        <f t="shared" si="2"/>
        <v>40758</v>
      </c>
      <c r="E15" s="46">
        <f t="shared" si="0"/>
        <v>145</v>
      </c>
      <c r="F15" s="16"/>
      <c r="G15" s="16">
        <f>IF(INDEX(LOG_Calc!$A:$XFD,$B15,G$1)="",#N/A,INDEX(LOG_Calc!$A:$XFD,$B15,G$1))</f>
        <v>1.3031960574204888</v>
      </c>
      <c r="H15" s="16"/>
    </row>
    <row r="16" spans="2:8" ht="12.75">
      <c r="B16" s="5">
        <f t="shared" si="1"/>
        <v>16</v>
      </c>
      <c r="D16" s="15">
        <f t="shared" si="2"/>
        <v>40758</v>
      </c>
      <c r="E16" s="46">
        <f t="shared" si="0"/>
        <v>145</v>
      </c>
      <c r="F16" s="16"/>
      <c r="G16" s="16">
        <f>IF(INDEX(LOG_Calc!$A:$XFD,$B16,G$1)="",#N/A,INDEX(LOG_Calc!$A:$XFD,$B16,G$1))</f>
        <v>1.3117538610557542</v>
      </c>
      <c r="H16" s="16"/>
    </row>
    <row r="17" spans="2:8" ht="12.75">
      <c r="B17" s="5">
        <f t="shared" si="1"/>
        <v>17</v>
      </c>
      <c r="D17" s="15">
        <f t="shared" si="2"/>
        <v>40758</v>
      </c>
      <c r="E17" s="46">
        <f t="shared" si="0"/>
        <v>145</v>
      </c>
      <c r="F17" s="16"/>
      <c r="G17" s="16">
        <f>IF(INDEX(LOG_Calc!$A:$XFD,$B17,G$1)="",#N/A,INDEX(LOG_Calc!$A:$XFD,$B17,G$1))</f>
        <v>1.3180633349627615</v>
      </c>
      <c r="H17" s="16"/>
    </row>
    <row r="18" spans="2:8" ht="12.75">
      <c r="B18" s="5">
        <f t="shared" si="1"/>
        <v>18</v>
      </c>
      <c r="D18" s="15">
        <f t="shared" si="2"/>
        <v>40758</v>
      </c>
      <c r="E18" s="46">
        <f t="shared" si="0"/>
        <v>145</v>
      </c>
      <c r="F18" s="16"/>
      <c r="G18" s="16">
        <f>IF(INDEX(LOG_Calc!$A:$XFD,$B18,G$1)="",#N/A,INDEX(LOG_Calc!$A:$XFD,$B18,G$1))</f>
        <v>1.3483048630481607</v>
      </c>
      <c r="H18" s="16"/>
    </row>
    <row r="19" spans="2:8" ht="12.75">
      <c r="B19" s="5">
        <f t="shared" si="1"/>
        <v>19</v>
      </c>
      <c r="D19" s="15">
        <f t="shared" si="2"/>
        <v>40758</v>
      </c>
      <c r="E19" s="46">
        <f t="shared" si="0"/>
        <v>145</v>
      </c>
      <c r="F19" s="16"/>
      <c r="G19" s="16">
        <f>IF(INDEX(LOG_Calc!$A:$XFD,$B19,G$1)="",#N/A,INDEX(LOG_Calc!$A:$XFD,$B19,G$1))</f>
        <v>1.3617278360175928</v>
      </c>
      <c r="H19" s="16"/>
    </row>
    <row r="20" spans="2:8" ht="12.75">
      <c r="B20" s="5">
        <f t="shared" si="1"/>
        <v>20</v>
      </c>
      <c r="D20" s="15">
        <f t="shared" si="2"/>
        <v>40758</v>
      </c>
      <c r="E20" s="46">
        <f t="shared" si="0"/>
        <v>145</v>
      </c>
      <c r="F20" s="16"/>
      <c r="G20" s="16">
        <f>IF(INDEX(LOG_Calc!$A:$XFD,$B20,G$1)="",#N/A,INDEX(LOG_Calc!$A:$XFD,$B20,G$1))</f>
        <v>1.1818435879447726</v>
      </c>
      <c r="H20" s="16"/>
    </row>
    <row r="21" spans="2:8" ht="12.75">
      <c r="B21" s="5">
        <f t="shared" si="1"/>
        <v>21</v>
      </c>
      <c r="D21" s="15">
        <f t="shared" si="2"/>
        <v>40758</v>
      </c>
      <c r="E21" s="46">
        <f t="shared" si="0"/>
        <v>145</v>
      </c>
      <c r="F21" s="16"/>
      <c r="G21" s="16">
        <f>IF(INDEX(LOG_Calc!$A:$XFD,$B21,G$1)="",#N/A,INDEX(LOG_Calc!$A:$XFD,$B21,G$1))</f>
        <v>1.2430380486862944</v>
      </c>
      <c r="H21" s="16"/>
    </row>
    <row r="22" spans="2:8" ht="12.75">
      <c r="B22" s="5">
        <f t="shared" si="1"/>
        <v>22</v>
      </c>
      <c r="D22" s="15">
        <f t="shared" si="2"/>
        <v>40758</v>
      </c>
      <c r="E22" s="46">
        <f t="shared" si="0"/>
        <v>145</v>
      </c>
      <c r="F22" s="16"/>
      <c r="G22" s="16">
        <f>IF(INDEX(LOG_Calc!$A:$XFD,$B22,G$1)="",#N/A,INDEX(LOG_Calc!$A:$XFD,$B22,G$1))</f>
        <v>1.2576785748691846</v>
      </c>
      <c r="H22" s="16"/>
    </row>
    <row r="23" spans="2:8" ht="12.75">
      <c r="B23" s="5">
        <f t="shared" si="1"/>
        <v>23</v>
      </c>
      <c r="D23" s="15">
        <f t="shared" si="2"/>
        <v>40758</v>
      </c>
      <c r="E23" s="46">
        <f t="shared" si="0"/>
        <v>145</v>
      </c>
      <c r="F23" s="16"/>
      <c r="G23" s="16">
        <f>IF(INDEX(LOG_Calc!$A:$XFD,$B23,G$1)="",#N/A,INDEX(LOG_Calc!$A:$XFD,$B23,G$1))</f>
        <v>1.252853030979893</v>
      </c>
      <c r="H23" s="16"/>
    </row>
    <row r="24" spans="2:8" ht="12.75">
      <c r="B24" s="5">
        <f t="shared" si="1"/>
        <v>24</v>
      </c>
      <c r="D24" s="15">
        <f t="shared" si="2"/>
        <v>40758</v>
      </c>
      <c r="E24" s="46">
        <f t="shared" si="0"/>
        <v>145</v>
      </c>
      <c r="F24" s="16"/>
      <c r="G24" s="16">
        <f>IF(INDEX(LOG_Calc!$A:$XFD,$B24,G$1)="",#N/A,INDEX(LOG_Calc!$A:$XFD,$B24,G$1))</f>
        <v>1.2430380486862944</v>
      </c>
      <c r="H24" s="16"/>
    </row>
    <row r="25" spans="4:8" ht="12.75">
      <c r="F25" s="16"/>
      <c r="G25" s="16"/>
      <c r="H25" s="16"/>
    </row>
    <row r="26" spans="1:8" ht="12.75">
      <c r="A26" s="5">
        <f>A11+1</f>
        <v>2</v>
      </c>
      <c r="B26" s="5">
        <v>11</v>
      </c>
      <c r="C26" s="5">
        <f>C11</f>
        <v>9</v>
      </c>
      <c r="D26" s="15">
        <f>INDEX(Ave_Calc!$A:$XFD,$C26,D$1+($A26-1))</f>
        <v>40873</v>
      </c>
      <c r="E26" s="46">
        <f t="shared" si="0"/>
        <v>260</v>
      </c>
      <c r="F26" s="16">
        <f>IF(INDEX(Ave_Calc!$A:$XFD,F$2+F$3,F$1+($A26-1))="",#N/A,INDEX(Ave_Calc!$A:$XFD,F$2+F$3,F$1+($A26-1)))</f>
        <v>1.2641606028679384</v>
      </c>
      <c r="G26" s="16">
        <f>IF(INDEX(LOG_Calc!$A:$XFD,$B26,G$2)="",#N/A,INDEX(LOG_Calc!$A:$XFD,$B26,G$2))</f>
        <v>1.235528446907549</v>
      </c>
      <c r="H26" s="16"/>
    </row>
    <row r="27" spans="2:8" ht="12.75">
      <c r="B27" s="5">
        <f>B26+1</f>
        <v>12</v>
      </c>
      <c r="D27" s="15">
        <f>D26</f>
        <v>40873</v>
      </c>
      <c r="E27" s="46">
        <f t="shared" si="0"/>
        <v>260</v>
      </c>
      <c r="F27" s="16"/>
      <c r="G27" s="16">
        <f>IF(INDEX(LOG_Calc!$A:$XFD,$B27,G$2)="",#N/A,INDEX(LOG_Calc!$A:$XFD,$B27,G$2))</f>
        <v>1.250420002308894</v>
      </c>
      <c r="H27" s="16"/>
    </row>
    <row r="28" spans="2:8" ht="12.75">
      <c r="B28" s="5">
        <f aca="true" t="shared" si="3" ref="B28:B39">B27+1</f>
        <v>13</v>
      </c>
      <c r="D28" s="15">
        <f aca="true" t="shared" si="4" ref="D28:D39">D27</f>
        <v>40873</v>
      </c>
      <c r="E28" s="46">
        <f t="shared" si="0"/>
        <v>260</v>
      </c>
      <c r="F28" s="16"/>
      <c r="G28" s="16">
        <f>IF(INDEX(LOG_Calc!$A:$XFD,$B28,G$2)="",#N/A,INDEX(LOG_Calc!$A:$XFD,$B28,G$2))</f>
        <v>1.2479732663618066</v>
      </c>
      <c r="H28" s="16"/>
    </row>
    <row r="29" spans="2:8" ht="12.75">
      <c r="B29" s="5">
        <f t="shared" si="3"/>
        <v>14</v>
      </c>
      <c r="D29" s="15">
        <f t="shared" si="4"/>
        <v>40873</v>
      </c>
      <c r="E29" s="46">
        <f t="shared" si="0"/>
        <v>260</v>
      </c>
      <c r="F29" s="16"/>
      <c r="G29" s="16">
        <f>IF(INDEX(LOG_Calc!$A:$XFD,$B29,G$2)="",#N/A,INDEX(LOG_Calc!$A:$XFD,$B29,G$2))</f>
        <v>1.2695129442179163</v>
      </c>
      <c r="H29" s="16"/>
    </row>
    <row r="30" spans="2:8" ht="12.75">
      <c r="B30" s="5">
        <f t="shared" si="3"/>
        <v>15</v>
      </c>
      <c r="D30" s="15">
        <f t="shared" si="4"/>
        <v>40873</v>
      </c>
      <c r="E30" s="46">
        <f t="shared" si="0"/>
        <v>260</v>
      </c>
      <c r="F30" s="16"/>
      <c r="G30" s="16">
        <f>IF(INDEX(LOG_Calc!$A:$XFD,$B30,G$2)="",#N/A,INDEX(LOG_Calc!$A:$XFD,$B30,G$2))</f>
        <v>1.2695129442179163</v>
      </c>
      <c r="H30" s="16"/>
    </row>
    <row r="31" spans="2:8" ht="12.75">
      <c r="B31" s="5">
        <f t="shared" si="3"/>
        <v>16</v>
      </c>
      <c r="D31" s="15">
        <f t="shared" si="4"/>
        <v>40873</v>
      </c>
      <c r="E31" s="46">
        <f t="shared" si="0"/>
        <v>260</v>
      </c>
      <c r="F31" s="16"/>
      <c r="G31" s="16">
        <f>IF(INDEX(LOG_Calc!$A:$XFD,$B31,G$2)="",#N/A,INDEX(LOG_Calc!$A:$XFD,$B31,G$2))</f>
        <v>1.2671717284030137</v>
      </c>
      <c r="H31" s="16"/>
    </row>
    <row r="32" spans="2:8" ht="12.75">
      <c r="B32" s="5">
        <f t="shared" si="3"/>
        <v>17</v>
      </c>
      <c r="D32" s="15">
        <f t="shared" si="4"/>
        <v>40873</v>
      </c>
      <c r="E32" s="46">
        <f t="shared" si="0"/>
        <v>260</v>
      </c>
      <c r="F32" s="16"/>
      <c r="G32" s="16">
        <f>IF(INDEX(LOG_Calc!$A:$XFD,$B32,G$2)="",#N/A,INDEX(LOG_Calc!$A:$XFD,$B32,G$2))</f>
        <v>1.271841606536499</v>
      </c>
      <c r="H32" s="16"/>
    </row>
    <row r="33" spans="2:8" ht="12.75">
      <c r="B33" s="5">
        <f t="shared" si="3"/>
        <v>18</v>
      </c>
      <c r="D33" s="15">
        <f t="shared" si="4"/>
        <v>40873</v>
      </c>
      <c r="E33" s="46">
        <f t="shared" si="0"/>
        <v>260</v>
      </c>
      <c r="F33" s="16"/>
      <c r="G33" s="16">
        <f>IF(INDEX(LOG_Calc!$A:$XFD,$B33,G$2)="",#N/A,INDEX(LOG_Calc!$A:$XFD,$B33,G$2))</f>
        <v>1.271841606536499</v>
      </c>
      <c r="H33" s="16"/>
    </row>
    <row r="34" spans="2:8" ht="12.75">
      <c r="B34" s="5">
        <f t="shared" si="3"/>
        <v>19</v>
      </c>
      <c r="D34" s="15">
        <f t="shared" si="4"/>
        <v>40873</v>
      </c>
      <c r="E34" s="46">
        <f t="shared" si="0"/>
        <v>260</v>
      </c>
      <c r="F34" s="16"/>
      <c r="G34" s="16">
        <f>IF(INDEX(LOG_Calc!$A:$XFD,$B34,G$2)="",#N/A,INDEX(LOG_Calc!$A:$XFD,$B34,G$2))</f>
        <v>1.276461804173244</v>
      </c>
      <c r="H34" s="16"/>
    </row>
    <row r="35" spans="2:8" ht="12.75">
      <c r="B35" s="5">
        <f t="shared" si="3"/>
        <v>20</v>
      </c>
      <c r="D35" s="15">
        <f t="shared" si="4"/>
        <v>40873</v>
      </c>
      <c r="E35" s="46">
        <f t="shared" si="0"/>
        <v>260</v>
      </c>
      <c r="F35" s="16"/>
      <c r="G35" s="16">
        <f>IF(INDEX(LOG_Calc!$A:$XFD,$B35,G$2)="",#N/A,INDEX(LOG_Calc!$A:$XFD,$B35,G$2))</f>
        <v>1.2576785748691846</v>
      </c>
      <c r="H35" s="16"/>
    </row>
    <row r="36" spans="2:8" ht="12.75">
      <c r="B36" s="5">
        <f t="shared" si="3"/>
        <v>21</v>
      </c>
      <c r="D36" s="15">
        <f t="shared" si="4"/>
        <v>40873</v>
      </c>
      <c r="E36" s="46">
        <f t="shared" si="0"/>
        <v>260</v>
      </c>
      <c r="F36" s="16"/>
      <c r="G36" s="16">
        <f>IF(INDEX(LOG_Calc!$A:$XFD,$B36,G$2)="",#N/A,INDEX(LOG_Calc!$A:$XFD,$B36,G$2))</f>
        <v>1.2648178230095364</v>
      </c>
      <c r="H36" s="16"/>
    </row>
    <row r="37" spans="2:8" ht="12.75">
      <c r="B37" s="5">
        <f t="shared" si="3"/>
        <v>22</v>
      </c>
      <c r="D37" s="15">
        <f t="shared" si="4"/>
        <v>40873</v>
      </c>
      <c r="E37" s="46">
        <f t="shared" si="0"/>
        <v>260</v>
      </c>
      <c r="F37" s="16"/>
      <c r="G37" s="16">
        <f>IF(INDEX(LOG_Calc!$A:$XFD,$B37,G$2)="",#N/A,INDEX(LOG_Calc!$A:$XFD,$B37,G$2))</f>
        <v>1.276461804173244</v>
      </c>
      <c r="H37" s="16"/>
    </row>
    <row r="38" spans="2:8" ht="12.75">
      <c r="B38" s="5">
        <f t="shared" si="3"/>
        <v>23</v>
      </c>
      <c r="D38" s="15">
        <f t="shared" si="4"/>
        <v>40873</v>
      </c>
      <c r="E38" s="46">
        <f t="shared" si="0"/>
        <v>260</v>
      </c>
      <c r="F38" s="16"/>
      <c r="G38" s="16">
        <f>IF(INDEX(LOG_Calc!$A:$XFD,$B38,G$2)="",#N/A,INDEX(LOG_Calc!$A:$XFD,$B38,G$2))</f>
        <v>1.2695129442179163</v>
      </c>
      <c r="H38" s="16"/>
    </row>
    <row r="39" spans="2:8" ht="12.75">
      <c r="B39" s="5">
        <f t="shared" si="3"/>
        <v>24</v>
      </c>
      <c r="D39" s="15">
        <f t="shared" si="4"/>
        <v>40873</v>
      </c>
      <c r="E39" s="46">
        <f t="shared" si="0"/>
        <v>260</v>
      </c>
      <c r="F39" s="16"/>
      <c r="G39" s="16">
        <f>IF(INDEX(LOG_Calc!$A:$XFD,$B39,G$2)="",#N/A,INDEX(LOG_Calc!$A:$XFD,$B39,G$2))</f>
        <v>1.2695129442179163</v>
      </c>
      <c r="H39" s="16"/>
    </row>
    <row r="40" spans="4:8" ht="12.75">
      <c r="F40" s="16"/>
      <c r="G40" s="16"/>
      <c r="H40" s="16"/>
    </row>
    <row r="41" spans="1:8" ht="12.75">
      <c r="A41" s="5">
        <f>A26+1</f>
        <v>3</v>
      </c>
      <c r="B41" s="5">
        <v>11</v>
      </c>
      <c r="C41" s="5">
        <f>C26</f>
        <v>9</v>
      </c>
      <c r="D41" s="15">
        <f>INDEX(Ave_Calc!$A:$XFD,$C41,D$1+($A41-1))</f>
        <v>40986</v>
      </c>
      <c r="E41" s="46">
        <f t="shared" si="0"/>
        <v>373</v>
      </c>
      <c r="F41" s="16">
        <f>IF(INDEX(Ave_Calc!$A:$XFD,F$2+F$3,F$1+($A41-1))="",#N/A,INDEX(Ave_Calc!$A:$XFD,F$2+F$3,F$1+($A41-1)))</f>
        <v>1.1937108212438337</v>
      </c>
      <c r="G41" s="16">
        <f>IF(INDEX(LOG_Calc!$A:$XFD,$B41,G$3)="",#N/A,INDEX(LOG_Calc!$A:$XFD,$B41,G$3))</f>
        <v>1.1205739312058498</v>
      </c>
      <c r="H41" s="16"/>
    </row>
    <row r="42" spans="2:8" ht="12.75">
      <c r="B42" s="5">
        <f>B41+1</f>
        <v>12</v>
      </c>
      <c r="D42" s="15">
        <f>D41</f>
        <v>40986</v>
      </c>
      <c r="E42" s="46">
        <f t="shared" si="0"/>
        <v>373</v>
      </c>
      <c r="F42" s="16"/>
      <c r="G42" s="16">
        <f>IF(INDEX(LOG_Calc!$A:$XFD,$B42,G$3)="",#N/A,INDEX(LOG_Calc!$A:$XFD,$B42,G$3))</f>
        <v>1.1205739312058498</v>
      </c>
      <c r="H42" s="16"/>
    </row>
    <row r="43" spans="2:8" ht="12.75">
      <c r="B43" s="5">
        <f aca="true" t="shared" si="5" ref="B43:B54">B42+1</f>
        <v>13</v>
      </c>
      <c r="D43" s="15">
        <f aca="true" t="shared" si="6" ref="D43:D54">D42</f>
        <v>40986</v>
      </c>
      <c r="E43" s="46">
        <f t="shared" si="0"/>
        <v>373</v>
      </c>
      <c r="F43" s="16"/>
      <c r="G43" s="16">
        <f>IF(INDEX(LOG_Calc!$A:$XFD,$B43,G$3)="",#N/A,INDEX(LOG_Calc!$A:$XFD,$B43,G$3))</f>
        <v>1.1846914308175989</v>
      </c>
      <c r="H43" s="16"/>
    </row>
    <row r="44" spans="2:8" ht="12.75">
      <c r="B44" s="5">
        <f t="shared" si="5"/>
        <v>14</v>
      </c>
      <c r="D44" s="15">
        <f t="shared" si="6"/>
        <v>40986</v>
      </c>
      <c r="E44" s="46">
        <f t="shared" si="0"/>
        <v>373</v>
      </c>
      <c r="F44" s="16"/>
      <c r="G44" s="16">
        <f>IF(INDEX(LOG_Calc!$A:$XFD,$B44,G$3)="",#N/A,INDEX(LOG_Calc!$A:$XFD,$B44,G$3))</f>
        <v>1.187520720836463</v>
      </c>
      <c r="H44" s="16"/>
    </row>
    <row r="45" spans="2:8" ht="12.75">
      <c r="B45" s="5">
        <f t="shared" si="5"/>
        <v>15</v>
      </c>
      <c r="D45" s="15">
        <f t="shared" si="6"/>
        <v>40986</v>
      </c>
      <c r="E45" s="46">
        <f t="shared" si="0"/>
        <v>373</v>
      </c>
      <c r="F45" s="16"/>
      <c r="G45" s="16">
        <f>IF(INDEX(LOG_Calc!$A:$XFD,$B45,G$3)="",#N/A,INDEX(LOG_Calc!$A:$XFD,$B45,G$3))</f>
        <v>1.2013971243204515</v>
      </c>
      <c r="H45" s="16"/>
    </row>
    <row r="46" spans="2:8" ht="12.75">
      <c r="B46" s="5">
        <f t="shared" si="5"/>
        <v>16</v>
      </c>
      <c r="D46" s="15">
        <f t="shared" si="6"/>
        <v>40986</v>
      </c>
      <c r="E46" s="46">
        <f t="shared" si="0"/>
        <v>373</v>
      </c>
      <c r="F46" s="16"/>
      <c r="G46" s="16">
        <f>IF(INDEX(LOG_Calc!$A:$XFD,$B46,G$3)="",#N/A,INDEX(LOG_Calc!$A:$XFD,$B46,G$3))</f>
        <v>1.2068258760318498</v>
      </c>
      <c r="H46" s="16"/>
    </row>
    <row r="47" spans="2:8" ht="12.75">
      <c r="B47" s="5">
        <f t="shared" si="5"/>
        <v>17</v>
      </c>
      <c r="D47" s="15">
        <f t="shared" si="6"/>
        <v>40986</v>
      </c>
      <c r="E47" s="46">
        <f t="shared" si="0"/>
        <v>373</v>
      </c>
      <c r="F47" s="16"/>
      <c r="G47" s="16">
        <f>IF(INDEX(LOG_Calc!$A:$XFD,$B47,G$3)="",#N/A,INDEX(LOG_Calc!$A:$XFD,$B47,G$3))</f>
        <v>1.209515014542631</v>
      </c>
      <c r="H47" s="16"/>
    </row>
    <row r="48" spans="2:8" ht="12.75">
      <c r="B48" s="5">
        <f t="shared" si="5"/>
        <v>18</v>
      </c>
      <c r="D48" s="15">
        <f t="shared" si="6"/>
        <v>40986</v>
      </c>
      <c r="E48" s="46">
        <f t="shared" si="0"/>
        <v>373</v>
      </c>
      <c r="F48" s="16"/>
      <c r="G48" s="16">
        <f>IF(INDEX(LOG_Calc!$A:$XFD,$B48,G$3)="",#N/A,INDEX(LOG_Calc!$A:$XFD,$B48,G$3))</f>
        <v>1.2148438480476977</v>
      </c>
      <c r="H48" s="16"/>
    </row>
    <row r="49" spans="2:8" ht="12.75">
      <c r="B49" s="5">
        <f t="shared" si="5"/>
        <v>19</v>
      </c>
      <c r="D49" s="15">
        <f t="shared" si="6"/>
        <v>40986</v>
      </c>
      <c r="E49" s="46">
        <f t="shared" si="0"/>
        <v>373</v>
      </c>
      <c r="F49" s="16"/>
      <c r="G49" s="16">
        <f>IF(INDEX(LOG_Calc!$A:$XFD,$B49,G$3)="",#N/A,INDEX(LOG_Calc!$A:$XFD,$B49,G$3))</f>
        <v>1.2201080880400552</v>
      </c>
      <c r="H49" s="16"/>
    </row>
    <row r="50" spans="2:8" ht="12.75">
      <c r="B50" s="5">
        <f t="shared" si="5"/>
        <v>20</v>
      </c>
      <c r="D50" s="15">
        <f t="shared" si="6"/>
        <v>40986</v>
      </c>
      <c r="E50" s="46">
        <f t="shared" si="0"/>
        <v>373</v>
      </c>
      <c r="F50" s="16"/>
      <c r="G50" s="16">
        <f>IF(INDEX(LOG_Calc!$A:$XFD,$B50,G$3)="",#N/A,INDEX(LOG_Calc!$A:$XFD,$B50,G$3))</f>
        <v>1.1818435879447726</v>
      </c>
      <c r="H50" s="16"/>
    </row>
    <row r="51" spans="2:8" ht="12.75">
      <c r="B51" s="5">
        <f t="shared" si="5"/>
        <v>21</v>
      </c>
      <c r="D51" s="15">
        <f t="shared" si="6"/>
        <v>40986</v>
      </c>
      <c r="E51" s="46">
        <f t="shared" si="0"/>
        <v>373</v>
      </c>
      <c r="F51" s="16"/>
      <c r="G51" s="16">
        <f>IF(INDEX(LOG_Calc!$A:$XFD,$B51,G$3)="",#N/A,INDEX(LOG_Calc!$A:$XFD,$B51,G$3))</f>
        <v>1.1986570869544226</v>
      </c>
      <c r="H51" s="16"/>
    </row>
    <row r="52" spans="2:8" ht="12.75">
      <c r="B52" s="5">
        <f t="shared" si="5"/>
        <v>22</v>
      </c>
      <c r="D52" s="15">
        <f t="shared" si="6"/>
        <v>40986</v>
      </c>
      <c r="E52" s="46">
        <f t="shared" si="0"/>
        <v>373</v>
      </c>
      <c r="F52" s="16"/>
      <c r="G52" s="16">
        <f>IF(INDEX(LOG_Calc!$A:$XFD,$B52,G$3)="",#N/A,INDEX(LOG_Calc!$A:$XFD,$B52,G$3))</f>
        <v>1.2148438480476977</v>
      </c>
      <c r="H52" s="16"/>
    </row>
    <row r="53" spans="2:8" ht="12.75">
      <c r="B53" s="5">
        <f t="shared" si="5"/>
        <v>23</v>
      </c>
      <c r="D53" s="15">
        <f t="shared" si="6"/>
        <v>40986</v>
      </c>
      <c r="E53" s="46">
        <f t="shared" si="0"/>
        <v>373</v>
      </c>
      <c r="F53" s="16"/>
      <c r="G53" s="16">
        <f>IF(INDEX(LOG_Calc!$A:$XFD,$B53,G$3)="",#N/A,INDEX(LOG_Calc!$A:$XFD,$B53,G$3))</f>
        <v>1.2304489213782739</v>
      </c>
      <c r="H53" s="16"/>
    </row>
    <row r="54" spans="2:8" ht="12.75">
      <c r="B54" s="5">
        <f t="shared" si="5"/>
        <v>24</v>
      </c>
      <c r="D54" s="15">
        <f t="shared" si="6"/>
        <v>40986</v>
      </c>
      <c r="E54" s="46">
        <f t="shared" si="0"/>
        <v>373</v>
      </c>
      <c r="F54" s="16"/>
      <c r="G54" s="16">
        <f>IF(INDEX(LOG_Calc!$A:$XFD,$B54,G$3)="",#N/A,INDEX(LOG_Calc!$A:$XFD,$B54,G$3))</f>
        <v>1.2201080880400552</v>
      </c>
      <c r="H54" s="16"/>
    </row>
    <row r="55" spans="4:8" ht="12.75">
      <c r="F55" s="16"/>
      <c r="G55" s="16"/>
      <c r="H55" s="16"/>
    </row>
    <row r="56" spans="1:8" ht="12.75">
      <c r="A56" s="5">
        <f>A41+1</f>
        <v>4</v>
      </c>
      <c r="B56" s="5">
        <v>11</v>
      </c>
      <c r="C56" s="5">
        <f>C41</f>
        <v>9</v>
      </c>
      <c r="D56" s="15">
        <f>INDEX(Ave_Calc!$A:$XFD,$C56,D$1+($A56-1))</f>
        <v>41055</v>
      </c>
      <c r="E56" s="46">
        <f t="shared" si="0"/>
        <v>442</v>
      </c>
      <c r="F56" s="16">
        <f>IF(INDEX(Ave_Calc!$A:$XFD,F$2+F$3,F$1+($A56-1))="",#N/A,INDEX(Ave_Calc!$A:$XFD,F$2+F$3,F$1+($A56-1)))</f>
        <v>1.126257859382997</v>
      </c>
      <c r="G56" s="16">
        <f>IF(INDEX(LOG_Calc!$A:$XFD,$B56,G$4)="",#N/A,INDEX(LOG_Calc!$A:$XFD,$B56,G$4))</f>
        <v>1.0170333392987803</v>
      </c>
      <c r="H56" s="16"/>
    </row>
    <row r="57" spans="2:8" ht="12.75">
      <c r="B57" s="5">
        <f>B56+1</f>
        <v>12</v>
      </c>
      <c r="D57" s="15">
        <f>D56</f>
        <v>41055</v>
      </c>
      <c r="E57" s="46">
        <f t="shared" si="0"/>
        <v>442</v>
      </c>
      <c r="F57" s="16"/>
      <c r="G57" s="16">
        <f>IF(INDEX(LOG_Calc!$A:$XFD,$B57,G$4)="",#N/A,INDEX(LOG_Calc!$A:$XFD,$B57,G$4))</f>
        <v>1.0253058652647702</v>
      </c>
      <c r="H57" s="16"/>
    </row>
    <row r="58" spans="2:8" ht="12.75">
      <c r="B58" s="5">
        <f aca="true" t="shared" si="7" ref="B58:B69">B57+1</f>
        <v>13</v>
      </c>
      <c r="D58" s="15">
        <f aca="true" t="shared" si="8" ref="D58:D69">D57</f>
        <v>41055</v>
      </c>
      <c r="E58" s="46">
        <f t="shared" si="0"/>
        <v>442</v>
      </c>
      <c r="F58" s="16"/>
      <c r="G58" s="16">
        <f>IF(INDEX(LOG_Calc!$A:$XFD,$B58,G$4)="",#N/A,INDEX(LOG_Calc!$A:$XFD,$B58,G$4))</f>
        <v>1.0791812460476249</v>
      </c>
      <c r="H58" s="16"/>
    </row>
    <row r="59" spans="2:8" ht="12.75">
      <c r="B59" s="5">
        <f t="shared" si="7"/>
        <v>14</v>
      </c>
      <c r="D59" s="15">
        <f t="shared" si="8"/>
        <v>41055</v>
      </c>
      <c r="E59" s="46">
        <f t="shared" si="0"/>
        <v>442</v>
      </c>
      <c r="F59" s="16"/>
      <c r="G59" s="16">
        <f>IF(INDEX(LOG_Calc!$A:$XFD,$B59,G$4)="",#N/A,INDEX(LOG_Calc!$A:$XFD,$B59,G$4))</f>
        <v>1.0934216851622351</v>
      </c>
      <c r="H59" s="16"/>
    </row>
    <row r="60" spans="2:8" ht="12.75">
      <c r="B60" s="5">
        <f t="shared" si="7"/>
        <v>15</v>
      </c>
      <c r="D60" s="15">
        <f t="shared" si="8"/>
        <v>41055</v>
      </c>
      <c r="E60" s="46">
        <f t="shared" si="0"/>
        <v>442</v>
      </c>
      <c r="F60" s="16"/>
      <c r="G60" s="16">
        <f>IF(INDEX(LOG_Calc!$A:$XFD,$B60,G$4)="",#N/A,INDEX(LOG_Calc!$A:$XFD,$B60,G$4))</f>
        <v>1.0969100130080565</v>
      </c>
      <c r="H60" s="16"/>
    </row>
    <row r="61" spans="2:8" ht="12.75">
      <c r="B61" s="5">
        <f t="shared" si="7"/>
        <v>16</v>
      </c>
      <c r="D61" s="15">
        <f t="shared" si="8"/>
        <v>41055</v>
      </c>
      <c r="E61" s="46">
        <f t="shared" si="0"/>
        <v>442</v>
      </c>
      <c r="F61" s="16"/>
      <c r="G61" s="16">
        <f>IF(INDEX(LOG_Calc!$A:$XFD,$B61,G$4)="",#N/A,INDEX(LOG_Calc!$A:$XFD,$B61,G$4))</f>
        <v>1.08278537031645</v>
      </c>
      <c r="H61" s="16"/>
    </row>
    <row r="62" spans="2:8" ht="12.75">
      <c r="B62" s="5">
        <f t="shared" si="7"/>
        <v>17</v>
      </c>
      <c r="D62" s="15">
        <f t="shared" si="8"/>
        <v>41055</v>
      </c>
      <c r="E62" s="46">
        <f t="shared" si="0"/>
        <v>442</v>
      </c>
      <c r="F62" s="16"/>
      <c r="G62" s="16">
        <f>IF(INDEX(LOG_Calc!$A:$XFD,$B62,G$4)="",#N/A,INDEX(LOG_Calc!$A:$XFD,$B62,G$4))</f>
        <v>1.0755469613925308</v>
      </c>
      <c r="H62" s="16"/>
    </row>
    <row r="63" spans="2:8" ht="12.75">
      <c r="B63" s="5">
        <f t="shared" si="7"/>
        <v>18</v>
      </c>
      <c r="D63" s="15">
        <f t="shared" si="8"/>
        <v>41055</v>
      </c>
      <c r="E63" s="46">
        <f t="shared" si="0"/>
        <v>442</v>
      </c>
      <c r="F63" s="16"/>
      <c r="G63" s="16">
        <f>IF(INDEX(LOG_Calc!$A:$XFD,$B63,G$4)="",#N/A,INDEX(LOG_Calc!$A:$XFD,$B63,G$4))</f>
        <v>1.0755469613925308</v>
      </c>
      <c r="H63" s="16"/>
    </row>
    <row r="64" spans="2:8" ht="12.75">
      <c r="B64" s="5">
        <f t="shared" si="7"/>
        <v>19</v>
      </c>
      <c r="D64" s="15">
        <f t="shared" si="8"/>
        <v>41055</v>
      </c>
      <c r="E64" s="46">
        <f t="shared" si="0"/>
        <v>442</v>
      </c>
      <c r="F64" s="16"/>
      <c r="G64" s="16">
        <f>IF(INDEX(LOG_Calc!$A:$XFD,$B64,G$4)="",#N/A,INDEX(LOG_Calc!$A:$XFD,$B64,G$4))</f>
        <v>1.0569048513364727</v>
      </c>
      <c r="H64" s="16"/>
    </row>
    <row r="65" spans="2:8" ht="12.75">
      <c r="B65" s="5">
        <f t="shared" si="7"/>
        <v>20</v>
      </c>
      <c r="D65" s="15">
        <f t="shared" si="8"/>
        <v>41055</v>
      </c>
      <c r="E65" s="46">
        <f t="shared" si="0"/>
        <v>442</v>
      </c>
      <c r="F65" s="16"/>
      <c r="G65" s="16">
        <f>IF(INDEX(LOG_Calc!$A:$XFD,$B65,G$4)="",#N/A,INDEX(LOG_Calc!$A:$XFD,$B65,G$4))</f>
        <v>1.089905111439398</v>
      </c>
      <c r="H65" s="16"/>
    </row>
    <row r="66" spans="2:8" ht="12.75">
      <c r="B66" s="5">
        <f t="shared" si="7"/>
        <v>21</v>
      </c>
      <c r="D66" s="15">
        <f t="shared" si="8"/>
        <v>41055</v>
      </c>
      <c r="E66" s="46">
        <f t="shared" si="0"/>
        <v>442</v>
      </c>
      <c r="F66" s="16"/>
      <c r="G66" s="16">
        <f>IF(INDEX(LOG_Calc!$A:$XFD,$B66,G$4)="",#N/A,INDEX(LOG_Calc!$A:$XFD,$B66,G$4))</f>
        <v>1.3096301674258988</v>
      </c>
      <c r="H66" s="16"/>
    </row>
    <row r="67" spans="2:8" ht="12.75">
      <c r="B67" s="5">
        <f t="shared" si="7"/>
        <v>22</v>
      </c>
      <c r="D67" s="15">
        <f t="shared" si="8"/>
        <v>41055</v>
      </c>
      <c r="E67" s="46">
        <f t="shared" si="0"/>
        <v>442</v>
      </c>
      <c r="F67" s="16"/>
      <c r="G67" s="16">
        <f>IF(INDEX(LOG_Calc!$A:$XFD,$B67,G$4)="",#N/A,INDEX(LOG_Calc!$A:$XFD,$B67,G$4))</f>
        <v>1.2600713879850747</v>
      </c>
      <c r="H67" s="16"/>
    </row>
    <row r="68" spans="2:8" ht="12.75">
      <c r="B68" s="5">
        <f t="shared" si="7"/>
        <v>23</v>
      </c>
      <c r="D68" s="15">
        <f t="shared" si="8"/>
        <v>41055</v>
      </c>
      <c r="E68" s="46">
        <f t="shared" si="0"/>
        <v>442</v>
      </c>
      <c r="F68" s="16"/>
      <c r="G68" s="16">
        <f>IF(INDEX(LOG_Calc!$A:$XFD,$B68,G$4)="",#N/A,INDEX(LOG_Calc!$A:$XFD,$B68,G$4))</f>
        <v>1.2648178230095364</v>
      </c>
      <c r="H68" s="16"/>
    </row>
    <row r="69" spans="2:8" ht="12.75">
      <c r="B69" s="5">
        <f t="shared" si="7"/>
        <v>24</v>
      </c>
      <c r="D69" s="15">
        <f t="shared" si="8"/>
        <v>41055</v>
      </c>
      <c r="E69" s="46">
        <f t="shared" si="0"/>
        <v>442</v>
      </c>
      <c r="F69" s="16"/>
      <c r="G69" s="16">
        <f>IF(INDEX(LOG_Calc!$A:$XFD,$B69,G$4)="",#N/A,INDEX(LOG_Calc!$A:$XFD,$B69,G$4))</f>
        <v>1.2405492482825997</v>
      </c>
      <c r="H69" s="16"/>
    </row>
    <row r="70" spans="4:8" ht="12.75">
      <c r="F70" s="16"/>
      <c r="G70" s="16"/>
      <c r="H70" s="16"/>
    </row>
    <row r="71" spans="3:12" ht="12.75">
      <c r="C71" s="17"/>
      <c r="D71" s="15">
        <v>40613</v>
      </c>
      <c r="E71" s="46">
        <f>DATEDIF(DATE(2011,3,11),D71,"d")</f>
        <v>0</v>
      </c>
      <c r="H71" s="5">
        <f>H5</f>
        <v>1.3136256345208641</v>
      </c>
      <c r="L71" s="5">
        <f>LOG(L$9)</f>
        <v>-1.3010299956639813</v>
      </c>
    </row>
    <row r="72" spans="3:12" ht="12.75">
      <c r="C72" s="17"/>
      <c r="D72" s="15">
        <v>55954</v>
      </c>
      <c r="E72" s="46">
        <f>DATEDIF(DATE(2011,3,11),D72,"d")</f>
        <v>15341</v>
      </c>
      <c r="H72" s="5">
        <f>H4*($D$72-$D$71)+H5</f>
        <v>-3.0945970576394313</v>
      </c>
      <c r="L72" s="5">
        <f>LOG(L$9)</f>
        <v>-1.3010299956639813</v>
      </c>
    </row>
    <row r="73" spans="4:8" ht="12.75">
      <c r="F73" s="16"/>
      <c r="G73" s="16"/>
      <c r="H73" s="16"/>
    </row>
    <row r="74" spans="3:13" ht="12.75">
      <c r="C74" s="5" t="s">
        <v>105</v>
      </c>
      <c r="D74" s="15"/>
      <c r="E74" s="46">
        <f>'0.05到達日'!$Q$63</f>
        <v>9099.22996721581</v>
      </c>
      <c r="M74" s="5">
        <v>5</v>
      </c>
    </row>
    <row r="75" spans="3:13" ht="12.75">
      <c r="C75" s="5" t="s">
        <v>105</v>
      </c>
      <c r="D75" s="15"/>
      <c r="E75" s="46">
        <f>'0.05到達日'!$Q$63</f>
        <v>9099.22996721581</v>
      </c>
      <c r="M75" s="5">
        <v>-5</v>
      </c>
    </row>
    <row r="76" spans="4:8" ht="12.75">
      <c r="F76" s="16"/>
      <c r="G76" s="16"/>
      <c r="H76" s="16"/>
    </row>
    <row r="77" spans="3:15" ht="12.75">
      <c r="C77" s="17"/>
      <c r="D77" s="15">
        <v>40613</v>
      </c>
      <c r="E77" s="46">
        <f>DATEDIF(DATE(2011,3,11),D77,"d")</f>
        <v>0</v>
      </c>
      <c r="N77" s="5">
        <f>LOG(N$9*(1/2)^($E77/N$8))</f>
        <v>1</v>
      </c>
      <c r="O77" s="5">
        <f>LOG(O$9*(1/2)^($E77/O$8))</f>
        <v>4.076640443670342</v>
      </c>
    </row>
    <row r="78" spans="3:15" ht="12.75">
      <c r="C78" s="17"/>
      <c r="D78" s="15">
        <v>40979</v>
      </c>
      <c r="E78" s="46">
        <f>DATEDIF(DATE(2011,3,11),D78,"d")</f>
        <v>366</v>
      </c>
      <c r="N78" s="5">
        <f>LOG(N$9*(1/2)^($E78/N$8))</f>
        <v>0.9900011817394485</v>
      </c>
      <c r="O78" s="5">
        <f>LOG(O$9*(1/2)^($E78/O$8))</f>
        <v>-9.659938460043437</v>
      </c>
    </row>
    <row r="79" spans="3:14" ht="12.75">
      <c r="C79" s="17"/>
      <c r="D79" s="15">
        <v>55954</v>
      </c>
      <c r="E79" s="46">
        <f>DATEDIF(DATE(2011,3,11),D79,"d")</f>
        <v>15341</v>
      </c>
      <c r="N79" s="5">
        <f>LOG(N$9*(1/2)^($E79/N$8))</f>
        <v>0.5808965274996701</v>
      </c>
    </row>
    <row r="80" spans="4:8" ht="12.75">
      <c r="F80" s="16"/>
      <c r="G80" s="16"/>
      <c r="H80" s="16"/>
    </row>
    <row r="81" spans="3:10" ht="12.75">
      <c r="C81" s="17">
        <v>0.01</v>
      </c>
      <c r="D81" s="15">
        <f>$D$71</f>
        <v>40613</v>
      </c>
      <c r="E81" s="46">
        <f>DATEDIF(DATE(2011,3,11),D81,"d")</f>
        <v>0</v>
      </c>
      <c r="J81" s="5">
        <f>LOG(C81)</f>
        <v>-2</v>
      </c>
    </row>
    <row r="82" spans="3:10" ht="12.75">
      <c r="C82" s="17">
        <f>C81</f>
        <v>0.01</v>
      </c>
      <c r="D82" s="15">
        <f>$D$72</f>
        <v>55954</v>
      </c>
      <c r="E82" s="46">
        <f>DATEDIF(DATE(2011,3,11),D82,"d")</f>
        <v>15341</v>
      </c>
      <c r="J82" s="5">
        <f>J81</f>
        <v>-2</v>
      </c>
    </row>
    <row r="83" spans="3:5" ht="12.75">
      <c r="C83" s="17"/>
      <c r="D83" s="17"/>
      <c r="E83" s="17"/>
    </row>
    <row r="84" spans="3:11" ht="12.75">
      <c r="C84" s="17">
        <f>C81+0.005</f>
        <v>0.015</v>
      </c>
      <c r="D84" s="15">
        <f>$D$71</f>
        <v>40613</v>
      </c>
      <c r="E84" s="46">
        <f>DATEDIF(DATE(2011,3,11),D84,"d")</f>
        <v>0</v>
      </c>
      <c r="K84" s="5">
        <f>LOG(C84)</f>
        <v>-1.8239087409443189</v>
      </c>
    </row>
    <row r="85" spans="3:11" ht="12.75">
      <c r="C85" s="17">
        <f>C84</f>
        <v>0.015</v>
      </c>
      <c r="D85" s="15">
        <f>$D$72</f>
        <v>55954</v>
      </c>
      <c r="E85" s="46">
        <f>DATEDIF(DATE(2011,3,11),D85,"d")</f>
        <v>15341</v>
      </c>
      <c r="K85" s="5">
        <f>LOG(C85)</f>
        <v>-1.8239087409443189</v>
      </c>
    </row>
    <row r="86" spans="3:5" ht="12.75">
      <c r="C86" s="17"/>
      <c r="D86" s="17"/>
      <c r="E86" s="17"/>
    </row>
    <row r="87" spans="3:9" ht="12.75">
      <c r="C87" s="17">
        <f>C81+0.01</f>
        <v>0.02</v>
      </c>
      <c r="D87" s="15">
        <f>$D$71</f>
        <v>40613</v>
      </c>
      <c r="E87" s="46">
        <f>DATEDIF(DATE(2011,3,11),D87,"d")</f>
        <v>0</v>
      </c>
      <c r="I87" s="5">
        <f>LOG(C87)</f>
        <v>-1.6989700043360187</v>
      </c>
    </row>
    <row r="88" spans="3:9" ht="12.75">
      <c r="C88" s="17">
        <f>C87</f>
        <v>0.02</v>
      </c>
      <c r="D88" s="15">
        <f>$D$72</f>
        <v>55954</v>
      </c>
      <c r="E88" s="46">
        <f>DATEDIF(DATE(2011,3,11),D88,"d")</f>
        <v>15341</v>
      </c>
      <c r="I88" s="5">
        <f>I87</f>
        <v>-1.6989700043360187</v>
      </c>
    </row>
    <row r="89" spans="3:5" ht="12.75">
      <c r="C89" s="17"/>
      <c r="D89" s="17"/>
      <c r="E89" s="17"/>
    </row>
    <row r="90" spans="3:9" ht="12.75">
      <c r="C90" s="17">
        <f>C87+0.01</f>
        <v>0.03</v>
      </c>
      <c r="D90" s="15">
        <f>$D$71</f>
        <v>40613</v>
      </c>
      <c r="E90" s="46">
        <f>DATEDIF(DATE(2011,3,11),D90,"d")</f>
        <v>0</v>
      </c>
      <c r="I90" s="5">
        <f>LOG(C90)</f>
        <v>-1.5228787452803376</v>
      </c>
    </row>
    <row r="91" spans="3:9" ht="12.75">
      <c r="C91" s="17">
        <f>C90</f>
        <v>0.03</v>
      </c>
      <c r="D91" s="15">
        <f>$D$72</f>
        <v>55954</v>
      </c>
      <c r="E91" s="46">
        <f>DATEDIF(DATE(2011,3,11),D91,"d")</f>
        <v>15341</v>
      </c>
      <c r="I91" s="5">
        <f>I90</f>
        <v>-1.5228787452803376</v>
      </c>
    </row>
    <row r="92" spans="3:5" ht="12.75">
      <c r="C92" s="17"/>
      <c r="D92" s="17"/>
      <c r="E92" s="46"/>
    </row>
    <row r="93" spans="3:9" ht="12.75">
      <c r="C93" s="17">
        <f>C90+0.01</f>
        <v>0.04</v>
      </c>
      <c r="D93" s="15">
        <f>$D$71</f>
        <v>40613</v>
      </c>
      <c r="E93" s="46">
        <f>DATEDIF(DATE(2011,3,11),D93,"d")</f>
        <v>0</v>
      </c>
      <c r="I93" s="5">
        <f>LOG(C93)</f>
        <v>-1.3979400086720375</v>
      </c>
    </row>
    <row r="94" spans="3:9" ht="12.75">
      <c r="C94" s="17">
        <f>C93</f>
        <v>0.04</v>
      </c>
      <c r="D94" s="15">
        <f>$D$72</f>
        <v>55954</v>
      </c>
      <c r="E94" s="46">
        <f>DATEDIF(DATE(2011,3,11),D94,"d")</f>
        <v>15341</v>
      </c>
      <c r="I94" s="5">
        <f>I93</f>
        <v>-1.3979400086720375</v>
      </c>
    </row>
    <row r="95" spans="3:5" ht="12.75">
      <c r="C95" s="17"/>
      <c r="D95" s="17"/>
      <c r="E95" s="17"/>
    </row>
    <row r="96" spans="3:10" ht="12.75">
      <c r="C96" s="17">
        <f>C93+0.01</f>
        <v>0.05</v>
      </c>
      <c r="D96" s="15">
        <f>$D$71</f>
        <v>40613</v>
      </c>
      <c r="E96" s="46">
        <f>DATEDIF(DATE(2011,3,11),D96,"d")</f>
        <v>0</v>
      </c>
      <c r="J96" s="5">
        <f>LOG(C96)</f>
        <v>-1.3010299956639813</v>
      </c>
    </row>
    <row r="97" spans="3:10" ht="12.75">
      <c r="C97" s="17">
        <f>C96</f>
        <v>0.05</v>
      </c>
      <c r="D97" s="15">
        <f>$D$72</f>
        <v>55954</v>
      </c>
      <c r="E97" s="46">
        <f>DATEDIF(DATE(2011,3,11),D97,"d")</f>
        <v>15341</v>
      </c>
      <c r="J97" s="5">
        <f>J96</f>
        <v>-1.3010299956639813</v>
      </c>
    </row>
    <row r="98" spans="3:5" ht="12.75">
      <c r="C98" s="17"/>
      <c r="D98" s="17"/>
      <c r="E98" s="17"/>
    </row>
    <row r="99" spans="3:9" ht="12.75">
      <c r="C99" s="17">
        <f>C96+0.01</f>
        <v>0.060000000000000005</v>
      </c>
      <c r="D99" s="15">
        <f>$D$71</f>
        <v>40613</v>
      </c>
      <c r="E99" s="46">
        <f>DATEDIF(DATE(2011,3,11),D99,"d")</f>
        <v>0</v>
      </c>
      <c r="I99" s="5">
        <f>LOG(C99)</f>
        <v>-1.2218487496163564</v>
      </c>
    </row>
    <row r="100" spans="3:9" ht="12.75">
      <c r="C100" s="17">
        <f>C99</f>
        <v>0.060000000000000005</v>
      </c>
      <c r="D100" s="15">
        <f>$D$72</f>
        <v>55954</v>
      </c>
      <c r="E100" s="46">
        <f>DATEDIF(DATE(2011,3,11),D100,"d")</f>
        <v>15341</v>
      </c>
      <c r="I100" s="5">
        <f>I99</f>
        <v>-1.2218487496163564</v>
      </c>
    </row>
    <row r="101" spans="3:5" ht="12.75">
      <c r="C101" s="17"/>
      <c r="D101" s="17"/>
      <c r="E101" s="17"/>
    </row>
    <row r="102" spans="3:9" ht="12.75">
      <c r="C102" s="17">
        <f>C99+0.01</f>
        <v>0.07</v>
      </c>
      <c r="D102" s="15">
        <f>$D$71</f>
        <v>40613</v>
      </c>
      <c r="E102" s="46">
        <f>DATEDIF(DATE(2011,3,11),D102,"d")</f>
        <v>0</v>
      </c>
      <c r="I102" s="5">
        <f>LOG(C102)</f>
        <v>-1.154901959985743</v>
      </c>
    </row>
    <row r="103" spans="3:9" ht="12.75">
      <c r="C103" s="17">
        <f>C102</f>
        <v>0.07</v>
      </c>
      <c r="D103" s="15">
        <f>$D$72</f>
        <v>55954</v>
      </c>
      <c r="E103" s="46">
        <f>DATEDIF(DATE(2011,3,11),D103,"d")</f>
        <v>15341</v>
      </c>
      <c r="I103" s="5">
        <f>I102</f>
        <v>-1.154901959985743</v>
      </c>
    </row>
    <row r="104" spans="3:5" ht="12.75">
      <c r="C104" s="17"/>
      <c r="D104" s="17"/>
      <c r="E104" s="17"/>
    </row>
    <row r="105" spans="3:9" ht="12.75">
      <c r="C105" s="17">
        <f>C102+0.01</f>
        <v>0.08</v>
      </c>
      <c r="D105" s="15">
        <f>$D$71</f>
        <v>40613</v>
      </c>
      <c r="E105" s="46">
        <f>DATEDIF(DATE(2011,3,11),D105,"d")</f>
        <v>0</v>
      </c>
      <c r="I105" s="5">
        <f>LOG(C105)</f>
        <v>-1.0969100130080565</v>
      </c>
    </row>
    <row r="106" spans="3:9" ht="12.75">
      <c r="C106" s="17">
        <f>C105</f>
        <v>0.08</v>
      </c>
      <c r="D106" s="15">
        <f>$D$72</f>
        <v>55954</v>
      </c>
      <c r="E106" s="46">
        <f>DATEDIF(DATE(2011,3,11),D106,"d")</f>
        <v>15341</v>
      </c>
      <c r="I106" s="5">
        <f>I105</f>
        <v>-1.0969100130080565</v>
      </c>
    </row>
    <row r="107" spans="3:5" ht="12.75">
      <c r="C107" s="17"/>
      <c r="D107" s="17"/>
      <c r="E107" s="17"/>
    </row>
    <row r="108" spans="3:9" ht="12.75">
      <c r="C108" s="17">
        <f>C105+0.01</f>
        <v>0.09</v>
      </c>
      <c r="D108" s="15">
        <f>$D$71</f>
        <v>40613</v>
      </c>
      <c r="E108" s="46">
        <f>DATEDIF(DATE(2011,3,11),D108,"d")</f>
        <v>0</v>
      </c>
      <c r="I108" s="5">
        <f>LOG(C108)</f>
        <v>-1.0457574905606752</v>
      </c>
    </row>
    <row r="109" spans="3:9" ht="12.75">
      <c r="C109" s="17">
        <f>C108</f>
        <v>0.09</v>
      </c>
      <c r="D109" s="15">
        <f>$D$72</f>
        <v>55954</v>
      </c>
      <c r="E109" s="46">
        <f>DATEDIF(DATE(2011,3,11),D109,"d")</f>
        <v>15341</v>
      </c>
      <c r="I109" s="5">
        <f>I108</f>
        <v>-1.0457574905606752</v>
      </c>
    </row>
    <row r="110" spans="3:5" ht="12.75">
      <c r="C110" s="17"/>
      <c r="D110" s="17"/>
      <c r="E110" s="17"/>
    </row>
    <row r="111" spans="3:10" ht="12.75">
      <c r="C111" s="17">
        <f>C81*10</f>
        <v>0.1</v>
      </c>
      <c r="D111" s="15">
        <f>$D$71</f>
        <v>40613</v>
      </c>
      <c r="E111" s="46">
        <f>DATEDIF(DATE(2011,3,11),D111,"d")</f>
        <v>0</v>
      </c>
      <c r="J111" s="5">
        <f>LOG(C111)</f>
        <v>-1</v>
      </c>
    </row>
    <row r="112" spans="3:10" ht="12.75">
      <c r="C112" s="17">
        <f>C111</f>
        <v>0.1</v>
      </c>
      <c r="D112" s="15">
        <f>$D$72</f>
        <v>55954</v>
      </c>
      <c r="E112" s="46">
        <f>DATEDIF(DATE(2011,3,11),D112,"d")</f>
        <v>15341</v>
      </c>
      <c r="J112" s="5">
        <f>J111</f>
        <v>-1</v>
      </c>
    </row>
    <row r="113" spans="3:5" ht="12.75">
      <c r="C113" s="17"/>
      <c r="D113" s="17"/>
      <c r="E113" s="17"/>
    </row>
    <row r="114" spans="3:11" ht="12.75">
      <c r="C114" s="17">
        <f>C84*10</f>
        <v>0.15</v>
      </c>
      <c r="D114" s="15">
        <f>$D$71</f>
        <v>40613</v>
      </c>
      <c r="E114" s="46">
        <f>DATEDIF(DATE(2011,3,11),D114,"d")</f>
        <v>0</v>
      </c>
      <c r="K114" s="5">
        <f>LOG(C114)</f>
        <v>-0.8239087409443188</v>
      </c>
    </row>
    <row r="115" spans="3:11" ht="12.75">
      <c r="C115" s="17">
        <f>C114</f>
        <v>0.15</v>
      </c>
      <c r="D115" s="15">
        <f>$D$72</f>
        <v>55954</v>
      </c>
      <c r="E115" s="46">
        <f>DATEDIF(DATE(2011,3,11),D115,"d")</f>
        <v>15341</v>
      </c>
      <c r="K115" s="5">
        <f>LOG(C115)</f>
        <v>-0.8239087409443188</v>
      </c>
    </row>
    <row r="116" spans="3:5" ht="12.75">
      <c r="C116" s="17"/>
      <c r="D116" s="17"/>
      <c r="E116" s="17"/>
    </row>
    <row r="117" spans="3:9" ht="12.75">
      <c r="C117" s="17">
        <f>C114+0.05</f>
        <v>0.2</v>
      </c>
      <c r="D117" s="15">
        <f>$D$71</f>
        <v>40613</v>
      </c>
      <c r="E117" s="46">
        <f>DATEDIF(DATE(2011,3,11),D117,"d")</f>
        <v>0</v>
      </c>
      <c r="I117" s="5">
        <f>LOG(C117)</f>
        <v>-0.6989700043360187</v>
      </c>
    </row>
    <row r="118" spans="3:9" ht="12.75">
      <c r="C118" s="17">
        <f>C117</f>
        <v>0.2</v>
      </c>
      <c r="D118" s="15">
        <f>$D$72</f>
        <v>55954</v>
      </c>
      <c r="E118" s="46">
        <f>DATEDIF(DATE(2011,3,11),D118,"d")</f>
        <v>15341</v>
      </c>
      <c r="I118" s="5">
        <f>I117</f>
        <v>-0.6989700043360187</v>
      </c>
    </row>
    <row r="119" spans="3:5" ht="12.75">
      <c r="C119" s="17"/>
      <c r="D119" s="17"/>
      <c r="E119" s="17"/>
    </row>
    <row r="120" spans="3:9" ht="12.75">
      <c r="C120" s="17">
        <f>C90*10</f>
        <v>0.3</v>
      </c>
      <c r="D120" s="15">
        <f>$D$71</f>
        <v>40613</v>
      </c>
      <c r="E120" s="46">
        <f>DATEDIF(DATE(2011,3,11),D120,"d")</f>
        <v>0</v>
      </c>
      <c r="I120" s="5">
        <f>LOG(C120)</f>
        <v>-0.5228787452803376</v>
      </c>
    </row>
    <row r="121" spans="3:9" ht="12.75">
      <c r="C121" s="17">
        <f>C120</f>
        <v>0.3</v>
      </c>
      <c r="D121" s="15">
        <f>$D$72</f>
        <v>55954</v>
      </c>
      <c r="E121" s="46">
        <f>DATEDIF(DATE(2011,3,11),D121,"d")</f>
        <v>15341</v>
      </c>
      <c r="I121" s="5">
        <f>I120</f>
        <v>-0.5228787452803376</v>
      </c>
    </row>
    <row r="122" spans="3:5" ht="12.75">
      <c r="C122" s="17"/>
      <c r="D122" s="17"/>
      <c r="E122" s="46"/>
    </row>
    <row r="123" spans="3:9" ht="12.75">
      <c r="C123" s="17">
        <f>C93*10</f>
        <v>0.4</v>
      </c>
      <c r="D123" s="15">
        <f>$D$71</f>
        <v>40613</v>
      </c>
      <c r="E123" s="46">
        <f>DATEDIF(DATE(2011,3,11),D123,"d")</f>
        <v>0</v>
      </c>
      <c r="I123" s="5">
        <f>LOG(C123)</f>
        <v>-0.3979400086720376</v>
      </c>
    </row>
    <row r="124" spans="3:9" ht="12.75">
      <c r="C124" s="17">
        <f>C123</f>
        <v>0.4</v>
      </c>
      <c r="D124" s="15">
        <f>$D$72</f>
        <v>55954</v>
      </c>
      <c r="E124" s="46">
        <f>DATEDIF(DATE(2011,3,11),D124,"d")</f>
        <v>15341</v>
      </c>
      <c r="I124" s="5">
        <f>I123</f>
        <v>-0.3979400086720376</v>
      </c>
    </row>
    <row r="125" spans="3:5" ht="12.75">
      <c r="C125" s="17"/>
      <c r="D125" s="17"/>
      <c r="E125" s="17"/>
    </row>
    <row r="126" spans="3:10" ht="12.75">
      <c r="C126" s="17">
        <f>C96*10</f>
        <v>0.5</v>
      </c>
      <c r="D126" s="15">
        <f>$D$71</f>
        <v>40613</v>
      </c>
      <c r="E126" s="46">
        <f>DATEDIF(DATE(2011,3,11),D126,"d")</f>
        <v>0</v>
      </c>
      <c r="J126" s="5">
        <f>LOG(C126)</f>
        <v>-0.3010299956639812</v>
      </c>
    </row>
    <row r="127" spans="3:10" ht="12.75">
      <c r="C127" s="17">
        <f>C126</f>
        <v>0.5</v>
      </c>
      <c r="D127" s="15">
        <f>$D$72</f>
        <v>55954</v>
      </c>
      <c r="E127" s="46">
        <f>DATEDIF(DATE(2011,3,11),D127,"d")</f>
        <v>15341</v>
      </c>
      <c r="J127" s="5">
        <f>J126</f>
        <v>-0.3010299956639812</v>
      </c>
    </row>
    <row r="128" spans="3:5" ht="12.75">
      <c r="C128" s="17"/>
      <c r="D128" s="17"/>
      <c r="E128" s="17"/>
    </row>
    <row r="129" spans="3:9" ht="12.75">
      <c r="C129" s="17">
        <f>C99*10</f>
        <v>0.6000000000000001</v>
      </c>
      <c r="D129" s="15">
        <f>$D$71</f>
        <v>40613</v>
      </c>
      <c r="E129" s="46">
        <f>DATEDIF(DATE(2011,3,11),D129,"d")</f>
        <v>0</v>
      </c>
      <c r="I129" s="5">
        <f>LOG(C129)</f>
        <v>-0.2218487496163563</v>
      </c>
    </row>
    <row r="130" spans="3:9" ht="12.75">
      <c r="C130" s="17">
        <f>C129</f>
        <v>0.6000000000000001</v>
      </c>
      <c r="D130" s="15">
        <f>$D$72</f>
        <v>55954</v>
      </c>
      <c r="E130" s="46">
        <f>DATEDIF(DATE(2011,3,11),D130,"d")</f>
        <v>15341</v>
      </c>
      <c r="I130" s="5">
        <f>I129</f>
        <v>-0.2218487496163563</v>
      </c>
    </row>
    <row r="131" spans="3:5" ht="12.75">
      <c r="C131" s="17"/>
      <c r="D131" s="17"/>
      <c r="E131" s="17"/>
    </row>
    <row r="132" spans="3:9" ht="12.75">
      <c r="C132" s="17">
        <f>C102*10</f>
        <v>0.7000000000000001</v>
      </c>
      <c r="D132" s="15">
        <f>$D$71</f>
        <v>40613</v>
      </c>
      <c r="E132" s="46">
        <f>DATEDIF(DATE(2011,3,11),D132,"d")</f>
        <v>0</v>
      </c>
      <c r="I132" s="5">
        <f>LOG(C132)</f>
        <v>-0.15490195998574313</v>
      </c>
    </row>
    <row r="133" spans="3:9" ht="12.75">
      <c r="C133" s="17">
        <f>C132</f>
        <v>0.7000000000000001</v>
      </c>
      <c r="D133" s="15">
        <f>$D$72</f>
        <v>55954</v>
      </c>
      <c r="E133" s="46">
        <f>DATEDIF(DATE(2011,3,11),D133,"d")</f>
        <v>15341</v>
      </c>
      <c r="I133" s="5">
        <f>I132</f>
        <v>-0.15490195998574313</v>
      </c>
    </row>
    <row r="134" spans="3:5" ht="12.75">
      <c r="C134" s="17"/>
      <c r="D134" s="17"/>
      <c r="E134" s="17"/>
    </row>
    <row r="135" spans="3:9" ht="12.75">
      <c r="C135" s="17">
        <f>C105*10</f>
        <v>0.8</v>
      </c>
      <c r="D135" s="15">
        <f>$D$71</f>
        <v>40613</v>
      </c>
      <c r="E135" s="46">
        <f>DATEDIF(DATE(2011,3,11),D135,"d")</f>
        <v>0</v>
      </c>
      <c r="I135" s="5">
        <f>LOG(C135)</f>
        <v>-0.09691001300805639</v>
      </c>
    </row>
    <row r="136" spans="3:9" ht="12.75">
      <c r="C136" s="17">
        <f>C135</f>
        <v>0.8</v>
      </c>
      <c r="D136" s="15">
        <f>$D$72</f>
        <v>55954</v>
      </c>
      <c r="E136" s="46">
        <f>DATEDIF(DATE(2011,3,11),D136,"d")</f>
        <v>15341</v>
      </c>
      <c r="I136" s="5">
        <f>I135</f>
        <v>-0.09691001300805639</v>
      </c>
    </row>
    <row r="137" spans="3:5" ht="12.75">
      <c r="C137" s="17"/>
      <c r="D137" s="17"/>
      <c r="E137" s="17"/>
    </row>
    <row r="138" spans="3:9" ht="12.75">
      <c r="C138" s="17">
        <f>C108*10</f>
        <v>0.8999999999999999</v>
      </c>
      <c r="D138" s="15">
        <f>$D$71</f>
        <v>40613</v>
      </c>
      <c r="E138" s="46">
        <f>DATEDIF(DATE(2011,3,11),D138,"d")</f>
        <v>0</v>
      </c>
      <c r="I138" s="5">
        <f>LOG(C138)</f>
        <v>-0.04575749056067517</v>
      </c>
    </row>
    <row r="139" spans="3:9" ht="12.75">
      <c r="C139" s="17">
        <f>C138</f>
        <v>0.8999999999999999</v>
      </c>
      <c r="D139" s="15">
        <f>$D$72</f>
        <v>55954</v>
      </c>
      <c r="E139" s="46">
        <f>DATEDIF(DATE(2011,3,11),D139,"d")</f>
        <v>15341</v>
      </c>
      <c r="I139" s="5">
        <f>I138</f>
        <v>-0.04575749056067517</v>
      </c>
    </row>
    <row r="140" spans="3:5" ht="12.75">
      <c r="C140" s="17"/>
      <c r="D140" s="17"/>
      <c r="E140" s="17"/>
    </row>
    <row r="141" spans="3:10" ht="12.75">
      <c r="C141" s="17">
        <f>C111*10</f>
        <v>1</v>
      </c>
      <c r="D141" s="15">
        <f>$D$71</f>
        <v>40613</v>
      </c>
      <c r="E141" s="46">
        <f>DATEDIF(DATE(2011,3,11),D141,"d")</f>
        <v>0</v>
      </c>
      <c r="J141" s="5">
        <f>LOG(C141)</f>
        <v>0</v>
      </c>
    </row>
    <row r="142" spans="3:10" ht="12.75">
      <c r="C142" s="17">
        <f>C141</f>
        <v>1</v>
      </c>
      <c r="D142" s="15">
        <f>$D$72</f>
        <v>55954</v>
      </c>
      <c r="E142" s="46">
        <f>DATEDIF(DATE(2011,3,11),D142,"d")</f>
        <v>15341</v>
      </c>
      <c r="J142" s="5">
        <f>J141</f>
        <v>0</v>
      </c>
    </row>
    <row r="143" spans="3:5" ht="12.75">
      <c r="C143" s="17"/>
      <c r="D143" s="17"/>
      <c r="E143" s="17"/>
    </row>
    <row r="144" spans="3:11" ht="12.75">
      <c r="C144" s="17">
        <f>C114*10</f>
        <v>1.5</v>
      </c>
      <c r="D144" s="15">
        <f>$D$71</f>
        <v>40613</v>
      </c>
      <c r="E144" s="46">
        <f>DATEDIF(DATE(2011,3,11),D144,"d")</f>
        <v>0</v>
      </c>
      <c r="K144" s="5">
        <f>LOG(C144)</f>
        <v>0.17609125905568124</v>
      </c>
    </row>
    <row r="145" spans="3:11" ht="12.75">
      <c r="C145" s="17">
        <f>C144</f>
        <v>1.5</v>
      </c>
      <c r="D145" s="15">
        <f>$D$72</f>
        <v>55954</v>
      </c>
      <c r="E145" s="46">
        <f>DATEDIF(DATE(2011,3,11),D145,"d")</f>
        <v>15341</v>
      </c>
      <c r="K145" s="5">
        <f>LOG(C145)</f>
        <v>0.17609125905568124</v>
      </c>
    </row>
    <row r="146" spans="3:5" ht="12.75">
      <c r="C146" s="17"/>
      <c r="D146" s="17"/>
      <c r="E146" s="17"/>
    </row>
    <row r="147" spans="3:9" ht="12.75">
      <c r="C147" s="17">
        <f>C117*10</f>
        <v>2</v>
      </c>
      <c r="D147" s="15">
        <f>$D$71</f>
        <v>40613</v>
      </c>
      <c r="E147" s="46">
        <f>DATEDIF(DATE(2011,3,11),D147,"d")</f>
        <v>0</v>
      </c>
      <c r="I147" s="5">
        <f>LOG(C147)</f>
        <v>0.3010299956639812</v>
      </c>
    </row>
    <row r="148" spans="3:9" ht="12.75">
      <c r="C148" s="17">
        <f>C147</f>
        <v>2</v>
      </c>
      <c r="D148" s="15">
        <f>$D$72</f>
        <v>55954</v>
      </c>
      <c r="E148" s="46">
        <f>DATEDIF(DATE(2011,3,11),D148,"d")</f>
        <v>15341</v>
      </c>
      <c r="I148" s="5">
        <f>I147</f>
        <v>0.3010299956639812</v>
      </c>
    </row>
    <row r="149" spans="3:5" ht="12.75">
      <c r="C149" s="17"/>
      <c r="D149" s="17"/>
      <c r="E149" s="17"/>
    </row>
    <row r="150" spans="3:9" ht="12.75">
      <c r="C150" s="17">
        <f>C120*10</f>
        <v>3</v>
      </c>
      <c r="D150" s="15">
        <f>$D$71</f>
        <v>40613</v>
      </c>
      <c r="E150" s="46">
        <f>DATEDIF(DATE(2011,3,11),D150,"d")</f>
        <v>0</v>
      </c>
      <c r="I150" s="5">
        <f>LOG(C150)</f>
        <v>0.47712125471966244</v>
      </c>
    </row>
    <row r="151" spans="3:9" ht="12.75">
      <c r="C151" s="17">
        <f>C150</f>
        <v>3</v>
      </c>
      <c r="D151" s="15">
        <f>$D$72</f>
        <v>55954</v>
      </c>
      <c r="E151" s="46">
        <f>DATEDIF(DATE(2011,3,11),D151,"d")</f>
        <v>15341</v>
      </c>
      <c r="I151" s="5">
        <f>I150</f>
        <v>0.47712125471966244</v>
      </c>
    </row>
    <row r="152" spans="3:5" ht="12.75">
      <c r="C152" s="17"/>
      <c r="D152" s="17"/>
      <c r="E152" s="46"/>
    </row>
    <row r="153" spans="3:9" ht="12.75">
      <c r="C153" s="17">
        <f>C123*10</f>
        <v>4</v>
      </c>
      <c r="D153" s="15">
        <f>$D$71</f>
        <v>40613</v>
      </c>
      <c r="E153" s="46">
        <f>DATEDIF(DATE(2011,3,11),D153,"d")</f>
        <v>0</v>
      </c>
      <c r="I153" s="5">
        <f>LOG(C153)</f>
        <v>0.6020599913279624</v>
      </c>
    </row>
    <row r="154" spans="3:9" ht="12.75">
      <c r="C154" s="17">
        <f>C153</f>
        <v>4</v>
      </c>
      <c r="D154" s="15">
        <f>$D$72</f>
        <v>55954</v>
      </c>
      <c r="E154" s="46">
        <f>DATEDIF(DATE(2011,3,11),D154,"d")</f>
        <v>15341</v>
      </c>
      <c r="I154" s="5">
        <f>I153</f>
        <v>0.6020599913279624</v>
      </c>
    </row>
    <row r="155" spans="3:5" ht="12.75">
      <c r="C155" s="17"/>
      <c r="D155" s="17"/>
      <c r="E155" s="17"/>
    </row>
    <row r="156" spans="3:10" ht="12.75">
      <c r="C156" s="17">
        <f>C126*10</f>
        <v>5</v>
      </c>
      <c r="D156" s="15">
        <f>$D$71</f>
        <v>40613</v>
      </c>
      <c r="E156" s="46">
        <f>DATEDIF(DATE(2011,3,11),D156,"d")</f>
        <v>0</v>
      </c>
      <c r="J156" s="5">
        <f>LOG(C156)</f>
        <v>0.6989700043360189</v>
      </c>
    </row>
    <row r="157" spans="3:10" ht="12.75">
      <c r="C157" s="17">
        <f>C156</f>
        <v>5</v>
      </c>
      <c r="D157" s="15">
        <f>$D$72</f>
        <v>55954</v>
      </c>
      <c r="E157" s="46">
        <f>DATEDIF(DATE(2011,3,11),D157,"d")</f>
        <v>15341</v>
      </c>
      <c r="J157" s="5">
        <f>J156</f>
        <v>0.6989700043360189</v>
      </c>
    </row>
    <row r="158" spans="3:5" ht="12.75">
      <c r="C158" s="17"/>
      <c r="D158" s="17"/>
      <c r="E158" s="17"/>
    </row>
    <row r="159" spans="3:9" ht="12.75">
      <c r="C159" s="17">
        <f>C129*10</f>
        <v>6.000000000000001</v>
      </c>
      <c r="D159" s="15">
        <f>$D$71</f>
        <v>40613</v>
      </c>
      <c r="E159" s="46">
        <f>DATEDIF(DATE(2011,3,11),D159,"d")</f>
        <v>0</v>
      </c>
      <c r="I159" s="5">
        <f>LOG(C159)</f>
        <v>0.7781512503836437</v>
      </c>
    </row>
    <row r="160" spans="3:9" ht="12.75">
      <c r="C160" s="17">
        <f>C159</f>
        <v>6.000000000000001</v>
      </c>
      <c r="D160" s="15">
        <f>$D$72</f>
        <v>55954</v>
      </c>
      <c r="E160" s="46">
        <f>DATEDIF(DATE(2011,3,11),D160,"d")</f>
        <v>15341</v>
      </c>
      <c r="I160" s="5">
        <f>I159</f>
        <v>0.7781512503836437</v>
      </c>
    </row>
    <row r="161" spans="3:5" ht="12.75">
      <c r="C161" s="17"/>
      <c r="D161" s="17"/>
      <c r="E161" s="17"/>
    </row>
    <row r="162" spans="3:9" ht="12.75">
      <c r="C162" s="17">
        <f>C132*10</f>
        <v>7.000000000000001</v>
      </c>
      <c r="D162" s="15">
        <f>$D$71</f>
        <v>40613</v>
      </c>
      <c r="E162" s="46">
        <f>DATEDIF(DATE(2011,3,11),D162,"d")</f>
        <v>0</v>
      </c>
      <c r="I162" s="5">
        <f>LOG(C162)</f>
        <v>0.8450980400142569</v>
      </c>
    </row>
    <row r="163" spans="3:9" ht="12.75">
      <c r="C163" s="17">
        <f>C162</f>
        <v>7.000000000000001</v>
      </c>
      <c r="D163" s="15">
        <f>$D$72</f>
        <v>55954</v>
      </c>
      <c r="E163" s="46">
        <f>DATEDIF(DATE(2011,3,11),D163,"d")</f>
        <v>15341</v>
      </c>
      <c r="I163" s="5">
        <f>I162</f>
        <v>0.8450980400142569</v>
      </c>
    </row>
    <row r="164" spans="3:5" ht="12.75">
      <c r="C164" s="17"/>
      <c r="D164" s="17"/>
      <c r="E164" s="17"/>
    </row>
    <row r="165" spans="3:9" ht="12.75">
      <c r="C165" s="17">
        <f>C135*10</f>
        <v>8</v>
      </c>
      <c r="D165" s="15">
        <f>$D$71</f>
        <v>40613</v>
      </c>
      <c r="E165" s="46">
        <f>DATEDIF(DATE(2011,3,11),D165,"d")</f>
        <v>0</v>
      </c>
      <c r="I165" s="5">
        <f>LOG(C165)</f>
        <v>0.9030899869919435</v>
      </c>
    </row>
    <row r="166" spans="3:9" ht="12.75">
      <c r="C166" s="17">
        <f>C165</f>
        <v>8</v>
      </c>
      <c r="D166" s="15">
        <f>$D$72</f>
        <v>55954</v>
      </c>
      <c r="E166" s="46">
        <f>DATEDIF(DATE(2011,3,11),D166,"d")</f>
        <v>15341</v>
      </c>
      <c r="I166" s="5">
        <f>I165</f>
        <v>0.9030899869919435</v>
      </c>
    </row>
    <row r="167" spans="3:5" ht="12.75">
      <c r="C167" s="17"/>
      <c r="D167" s="17"/>
      <c r="E167" s="17"/>
    </row>
    <row r="168" spans="3:9" ht="12.75">
      <c r="C168" s="17">
        <f>C138*10</f>
        <v>9</v>
      </c>
      <c r="D168" s="15">
        <f>$D$71</f>
        <v>40613</v>
      </c>
      <c r="E168" s="46">
        <f>DATEDIF(DATE(2011,3,11),D168,"d")</f>
        <v>0</v>
      </c>
      <c r="I168" s="5">
        <f>LOG(C168)</f>
        <v>0.9542425094393249</v>
      </c>
    </row>
    <row r="169" spans="3:9" ht="12.75">
      <c r="C169" s="17">
        <f>C168</f>
        <v>9</v>
      </c>
      <c r="D169" s="15">
        <f>$D$72</f>
        <v>55954</v>
      </c>
      <c r="E169" s="46">
        <f>DATEDIF(DATE(2011,3,11),D169,"d")</f>
        <v>15341</v>
      </c>
      <c r="I169" s="5">
        <f>I168</f>
        <v>0.9542425094393249</v>
      </c>
    </row>
    <row r="170" spans="3:5" ht="12.75">
      <c r="C170" s="17"/>
      <c r="D170" s="17"/>
      <c r="E170" s="17"/>
    </row>
    <row r="171" spans="3:10" ht="12.75">
      <c r="C171" s="17">
        <f>C141*10</f>
        <v>10</v>
      </c>
      <c r="D171" s="15">
        <f>$D$71</f>
        <v>40613</v>
      </c>
      <c r="E171" s="46">
        <f>DATEDIF(DATE(2011,3,11),D171,"d")</f>
        <v>0</v>
      </c>
      <c r="J171" s="5">
        <f>LOG(C171)</f>
        <v>1</v>
      </c>
    </row>
    <row r="172" spans="3:10" ht="12.75">
      <c r="C172" s="17">
        <f>C171</f>
        <v>10</v>
      </c>
      <c r="D172" s="15">
        <f>$D$72</f>
        <v>55954</v>
      </c>
      <c r="E172" s="46">
        <f>DATEDIF(DATE(2011,3,11),D172,"d")</f>
        <v>15341</v>
      </c>
      <c r="J172" s="5">
        <f>J171</f>
        <v>1</v>
      </c>
    </row>
    <row r="173" spans="3:5" ht="12.75">
      <c r="C173" s="17"/>
      <c r="D173" s="17"/>
      <c r="E173" s="17"/>
    </row>
    <row r="174" spans="3:11" ht="12.75">
      <c r="C174" s="17">
        <f>C144*10</f>
        <v>15</v>
      </c>
      <c r="D174" s="15">
        <f>$D$71</f>
        <v>40613</v>
      </c>
      <c r="E174" s="46">
        <f>DATEDIF(DATE(2011,3,11),D174,"d")</f>
        <v>0</v>
      </c>
      <c r="K174" s="5">
        <f>LOG(C174)</f>
        <v>1.1760912590556813</v>
      </c>
    </row>
    <row r="175" spans="3:11" ht="12.75">
      <c r="C175" s="17">
        <f>C174</f>
        <v>15</v>
      </c>
      <c r="D175" s="15">
        <f>$D$72</f>
        <v>55954</v>
      </c>
      <c r="E175" s="46">
        <f>DATEDIF(DATE(2011,3,11),D175,"d")</f>
        <v>15341</v>
      </c>
      <c r="K175" s="5">
        <f>LOG(C175)</f>
        <v>1.1760912590556813</v>
      </c>
    </row>
    <row r="176" spans="3:5" ht="12.75">
      <c r="C176" s="17"/>
      <c r="D176" s="17"/>
      <c r="E176" s="17"/>
    </row>
    <row r="177" spans="3:9" ht="12.75">
      <c r="C177" s="17">
        <f>C147*10</f>
        <v>20</v>
      </c>
      <c r="D177" s="15">
        <f>$D$71</f>
        <v>40613</v>
      </c>
      <c r="E177" s="46">
        <f>DATEDIF(DATE(2011,3,11),D177,"d")</f>
        <v>0</v>
      </c>
      <c r="I177" s="5">
        <f>LOG(C177)</f>
        <v>1.3010299956639813</v>
      </c>
    </row>
    <row r="178" spans="3:9" ht="12.75">
      <c r="C178" s="17">
        <f>C177</f>
        <v>20</v>
      </c>
      <c r="D178" s="15">
        <f>$D$72</f>
        <v>55954</v>
      </c>
      <c r="E178" s="46">
        <f>DATEDIF(DATE(2011,3,11),D178,"d")</f>
        <v>15341</v>
      </c>
      <c r="I178" s="5">
        <f>I177</f>
        <v>1.3010299956639813</v>
      </c>
    </row>
    <row r="179" spans="3:5" ht="12.75">
      <c r="C179" s="17"/>
      <c r="D179" s="17"/>
      <c r="E179" s="17"/>
    </row>
    <row r="180" spans="3:9" ht="12.75">
      <c r="C180" s="17">
        <f>C150*10</f>
        <v>30</v>
      </c>
      <c r="D180" s="15">
        <f>$D$71</f>
        <v>40613</v>
      </c>
      <c r="E180" s="46">
        <f>DATEDIF(DATE(2011,3,11),D180,"d")</f>
        <v>0</v>
      </c>
      <c r="I180" s="5">
        <f>LOG(C180)</f>
        <v>1.4771212547196624</v>
      </c>
    </row>
    <row r="181" spans="3:9" ht="12.75">
      <c r="C181" s="17">
        <f>C180</f>
        <v>30</v>
      </c>
      <c r="D181" s="15">
        <f>$D$72</f>
        <v>55954</v>
      </c>
      <c r="E181" s="46">
        <f>DATEDIF(DATE(2011,3,11),D181,"d")</f>
        <v>15341</v>
      </c>
      <c r="I181" s="5">
        <f>I180</f>
        <v>1.4771212547196624</v>
      </c>
    </row>
    <row r="182" spans="3:5" ht="12.75">
      <c r="C182" s="17"/>
      <c r="D182" s="17"/>
      <c r="E182" s="46"/>
    </row>
    <row r="183" spans="3:9" ht="12.75">
      <c r="C183" s="17">
        <f>C153*10</f>
        <v>40</v>
      </c>
      <c r="D183" s="15">
        <f>$D$71</f>
        <v>40613</v>
      </c>
      <c r="E183" s="46">
        <f>DATEDIF(DATE(2011,3,11),D183,"d")</f>
        <v>0</v>
      </c>
      <c r="I183" s="5">
        <f>LOG(C183)</f>
        <v>1.6020599913279623</v>
      </c>
    </row>
    <row r="184" spans="3:9" ht="12.75">
      <c r="C184" s="17">
        <f>C183</f>
        <v>40</v>
      </c>
      <c r="D184" s="15">
        <f>$D$72</f>
        <v>55954</v>
      </c>
      <c r="E184" s="46">
        <f>DATEDIF(DATE(2011,3,11),D184,"d")</f>
        <v>15341</v>
      </c>
      <c r="I184" s="5">
        <f>I183</f>
        <v>1.6020599913279623</v>
      </c>
    </row>
    <row r="185" spans="3:5" ht="12.75">
      <c r="C185" s="17"/>
      <c r="D185" s="17"/>
      <c r="E185" s="17"/>
    </row>
    <row r="186" spans="3:10" ht="12.75">
      <c r="C186" s="17">
        <f>C156*10</f>
        <v>50</v>
      </c>
      <c r="D186" s="15">
        <f>$D$71</f>
        <v>40613</v>
      </c>
      <c r="E186" s="46">
        <f>DATEDIF(DATE(2011,3,11),D186,"d")</f>
        <v>0</v>
      </c>
      <c r="J186" s="5">
        <f>LOG(C186)</f>
        <v>1.6989700043360187</v>
      </c>
    </row>
    <row r="187" spans="3:10" ht="12.75">
      <c r="C187" s="17">
        <f>C186</f>
        <v>50</v>
      </c>
      <c r="D187" s="15">
        <f>$D$72</f>
        <v>55954</v>
      </c>
      <c r="E187" s="46">
        <f>DATEDIF(DATE(2011,3,11),D187,"d")</f>
        <v>15341</v>
      </c>
      <c r="J187" s="5">
        <f>J186</f>
        <v>1.6989700043360187</v>
      </c>
    </row>
    <row r="188" spans="3:5" ht="12.75">
      <c r="C188" s="17"/>
      <c r="D188" s="17"/>
      <c r="E188" s="17"/>
    </row>
    <row r="189" spans="3:9" ht="12.75">
      <c r="C189" s="17">
        <f>C159*10</f>
        <v>60.00000000000001</v>
      </c>
      <c r="D189" s="15">
        <f>$D$71</f>
        <v>40613</v>
      </c>
      <c r="E189" s="46">
        <f>DATEDIF(DATE(2011,3,11),D189,"d")</f>
        <v>0</v>
      </c>
      <c r="I189" s="5">
        <f>LOG(C189)</f>
        <v>1.7781512503836436</v>
      </c>
    </row>
    <row r="190" spans="3:9" ht="12.75">
      <c r="C190" s="17">
        <f>C189</f>
        <v>60.00000000000001</v>
      </c>
      <c r="D190" s="15">
        <f>$D$72</f>
        <v>55954</v>
      </c>
      <c r="E190" s="46">
        <f>DATEDIF(DATE(2011,3,11),D190,"d")</f>
        <v>15341</v>
      </c>
      <c r="I190" s="5">
        <f>I189</f>
        <v>1.7781512503836436</v>
      </c>
    </row>
    <row r="191" spans="3:5" ht="12.75">
      <c r="C191" s="17"/>
      <c r="D191" s="17"/>
      <c r="E191" s="17"/>
    </row>
    <row r="192" spans="3:9" ht="12.75">
      <c r="C192" s="17">
        <f>C162*10</f>
        <v>70.00000000000001</v>
      </c>
      <c r="D192" s="15">
        <f>$D$71</f>
        <v>40613</v>
      </c>
      <c r="E192" s="46">
        <f>DATEDIF(DATE(2011,3,11),D192,"d")</f>
        <v>0</v>
      </c>
      <c r="I192" s="5">
        <f>LOG(C192)</f>
        <v>1.845098040014257</v>
      </c>
    </row>
    <row r="193" spans="3:9" ht="12.75">
      <c r="C193" s="17">
        <f>C192</f>
        <v>70.00000000000001</v>
      </c>
      <c r="D193" s="15">
        <f>$D$72</f>
        <v>55954</v>
      </c>
      <c r="E193" s="46">
        <f>DATEDIF(DATE(2011,3,11),D193,"d")</f>
        <v>15341</v>
      </c>
      <c r="I193" s="5">
        <f>I192</f>
        <v>1.845098040014257</v>
      </c>
    </row>
    <row r="194" spans="3:5" ht="12.75">
      <c r="C194" s="17"/>
      <c r="D194" s="17"/>
      <c r="E194" s="17"/>
    </row>
    <row r="195" spans="3:9" ht="12.75">
      <c r="C195" s="17">
        <f>C165*10</f>
        <v>80</v>
      </c>
      <c r="D195" s="15">
        <f>$D$71</f>
        <v>40613</v>
      </c>
      <c r="E195" s="46">
        <f>DATEDIF(DATE(2011,3,11),D195,"d")</f>
        <v>0</v>
      </c>
      <c r="I195" s="5">
        <f>LOG(C195)</f>
        <v>1.9030899869919435</v>
      </c>
    </row>
    <row r="196" spans="3:9" ht="12.75">
      <c r="C196" s="17">
        <f>C195</f>
        <v>80</v>
      </c>
      <c r="D196" s="15">
        <f>$D$72</f>
        <v>55954</v>
      </c>
      <c r="E196" s="46">
        <f>DATEDIF(DATE(2011,3,11),D196,"d")</f>
        <v>15341</v>
      </c>
      <c r="I196" s="5">
        <f>I195</f>
        <v>1.9030899869919435</v>
      </c>
    </row>
    <row r="197" spans="3:5" ht="12.75">
      <c r="C197" s="17"/>
      <c r="D197" s="17"/>
      <c r="E197" s="17"/>
    </row>
    <row r="198" spans="3:9" ht="12.75">
      <c r="C198" s="17">
        <f>C168*10</f>
        <v>90</v>
      </c>
      <c r="D198" s="15">
        <f>$D$71</f>
        <v>40613</v>
      </c>
      <c r="E198" s="46">
        <f>DATEDIF(DATE(2011,3,11),D198,"d")</f>
        <v>0</v>
      </c>
      <c r="I198" s="5">
        <f>LOG(C198)</f>
        <v>1.954242509439325</v>
      </c>
    </row>
    <row r="199" spans="3:9" ht="12.75">
      <c r="C199" s="17">
        <f>C198</f>
        <v>90</v>
      </c>
      <c r="D199" s="15">
        <f>$D$72</f>
        <v>55954</v>
      </c>
      <c r="E199" s="46">
        <f>DATEDIF(DATE(2011,3,11),D199,"d")</f>
        <v>15341</v>
      </c>
      <c r="I199" s="5">
        <f>I198</f>
        <v>1.954242509439325</v>
      </c>
    </row>
    <row r="200" spans="3:5" ht="12.75">
      <c r="C200" s="17"/>
      <c r="D200" s="17"/>
      <c r="E200" s="17"/>
    </row>
    <row r="201" spans="3:10" ht="12.75">
      <c r="C201" s="17">
        <f>C171*10</f>
        <v>100</v>
      </c>
      <c r="D201" s="15">
        <f>$D$71</f>
        <v>40613</v>
      </c>
      <c r="E201" s="46">
        <f>DATEDIF(DATE(2011,3,11),D201,"d")</f>
        <v>0</v>
      </c>
      <c r="J201" s="5">
        <f>LOG(C201)</f>
        <v>2</v>
      </c>
    </row>
    <row r="202" spans="3:10" ht="12.75">
      <c r="C202" s="17">
        <f>C201</f>
        <v>100</v>
      </c>
      <c r="D202" s="15">
        <f>$D$72</f>
        <v>55954</v>
      </c>
      <c r="E202" s="46">
        <f>DATEDIF(DATE(2011,3,11),D202,"d")</f>
        <v>15341</v>
      </c>
      <c r="J202" s="5">
        <f>J201</f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Aerocrart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cp:lastPrinted>2012-06-21T01:22:59Z</cp:lastPrinted>
  <dcterms:created xsi:type="dcterms:W3CDTF">2011-08-03T13:54:30Z</dcterms:created>
  <dcterms:modified xsi:type="dcterms:W3CDTF">2012-06-21T01:25:13Z</dcterms:modified>
  <cp:category/>
  <cp:version/>
  <cp:contentType/>
  <cp:contentStatus/>
</cp:coreProperties>
</file>